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sexhoa-my.sharepoint.com/personal/sean_essexhoa_com/Documents/Iron Horse/"/>
    </mc:Choice>
  </mc:AlternateContent>
  <xr:revisionPtr revIDLastSave="9" documentId="8_{AE86473B-F959-49EB-ABA1-AEB52AE183C8}" xr6:coauthVersionLast="47" xr6:coauthVersionMax="47" xr10:uidLastSave="{FE3D3478-3DC0-497B-82B7-14B579CF9CF9}"/>
  <bookViews>
    <workbookView xWindow="780" yWindow="780" windowWidth="24345" windowHeight="13110" xr2:uid="{00000000-000D-0000-FFFF-FFFF00000000}"/>
  </bookViews>
  <sheets>
    <sheet name="IHV Analysis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X4" i="1"/>
  <c r="X3" i="1"/>
  <c r="X2" i="1"/>
  <c r="X6" i="1"/>
  <c r="W6" i="1"/>
  <c r="V6" i="1"/>
  <c r="U6" i="1"/>
  <c r="T6" i="1"/>
  <c r="T7" i="1"/>
  <c r="R7" i="1"/>
  <c r="P13" i="1"/>
  <c r="P8" i="1"/>
  <c r="W5" i="1"/>
  <c r="W4" i="1"/>
  <c r="W3" i="1"/>
  <c r="W2" i="1"/>
  <c r="Q13" i="1"/>
  <c r="P7" i="1"/>
  <c r="P6" i="1"/>
  <c r="P5" i="1"/>
  <c r="P4" i="1"/>
  <c r="P3" i="1"/>
  <c r="P72" i="1"/>
  <c r="P2" i="1"/>
  <c r="P79" i="1"/>
  <c r="Q79" i="1" s="1"/>
  <c r="V5" i="1"/>
  <c r="V4" i="1"/>
  <c r="V3" i="1"/>
  <c r="V2" i="1"/>
  <c r="U5" i="1"/>
  <c r="U4" i="1"/>
  <c r="U3" i="1"/>
  <c r="U2" i="1"/>
  <c r="Q33" i="1"/>
  <c r="Q30" i="1"/>
  <c r="Q27" i="1"/>
  <c r="Q45" i="1"/>
  <c r="Q83" i="1"/>
  <c r="Q81" i="1"/>
  <c r="Q80" i="1"/>
  <c r="Q71" i="1"/>
  <c r="Q62" i="1"/>
  <c r="Q59" i="1"/>
  <c r="Q58" i="1"/>
  <c r="Q57" i="1"/>
  <c r="Q56" i="1"/>
  <c r="Q55" i="1"/>
  <c r="U7" i="1"/>
  <c r="P30" i="1"/>
  <c r="P33" i="1"/>
  <c r="P45" i="1"/>
  <c r="P83" i="1"/>
  <c r="P80" i="1"/>
  <c r="P81" i="1"/>
  <c r="P71" i="1"/>
  <c r="P62" i="1"/>
  <c r="P59" i="1"/>
  <c r="P58" i="1"/>
  <c r="P57" i="1"/>
  <c r="P56" i="1"/>
  <c r="P55" i="1"/>
  <c r="P27" i="1"/>
  <c r="S2" i="1"/>
  <c r="N86" i="1"/>
  <c r="M86" i="1"/>
  <c r="L86" i="1"/>
  <c r="K86" i="1"/>
  <c r="J86" i="1"/>
  <c r="I86" i="1"/>
  <c r="H86" i="1"/>
  <c r="G86" i="1"/>
  <c r="F86" i="1"/>
  <c r="E86" i="1"/>
  <c r="D86" i="1"/>
  <c r="C86" i="1"/>
  <c r="O86" i="1"/>
  <c r="N85" i="1"/>
  <c r="M85" i="1"/>
  <c r="L85" i="1"/>
  <c r="K85" i="1"/>
  <c r="J85" i="1"/>
  <c r="I85" i="1"/>
  <c r="H85" i="1"/>
  <c r="G85" i="1"/>
  <c r="F85" i="1"/>
  <c r="E85" i="1"/>
  <c r="D85" i="1"/>
  <c r="C85" i="1"/>
  <c r="O85" i="1"/>
  <c r="O33" i="1"/>
  <c r="N84" i="1"/>
  <c r="M84" i="1"/>
  <c r="L84" i="1"/>
  <c r="K84" i="1"/>
  <c r="J84" i="1"/>
  <c r="I84" i="1"/>
  <c r="H84" i="1"/>
  <c r="G84" i="1"/>
  <c r="F84" i="1"/>
  <c r="E84" i="1"/>
  <c r="D84" i="1"/>
  <c r="C84" i="1"/>
  <c r="N82" i="1"/>
  <c r="M82" i="1"/>
  <c r="L82" i="1"/>
  <c r="K82" i="1"/>
  <c r="J82" i="1"/>
  <c r="I82" i="1"/>
  <c r="H82" i="1"/>
  <c r="G82" i="1"/>
  <c r="F82" i="1"/>
  <c r="E82" i="1"/>
  <c r="D82" i="1"/>
  <c r="C82" i="1"/>
  <c r="N30" i="1"/>
  <c r="M30" i="1"/>
  <c r="L30" i="1"/>
  <c r="K30" i="1"/>
  <c r="J30" i="1"/>
  <c r="I30" i="1"/>
  <c r="H30" i="1"/>
  <c r="G30" i="1"/>
  <c r="F30" i="1"/>
  <c r="E30" i="1"/>
  <c r="D30" i="1"/>
  <c r="C30" i="1"/>
  <c r="O84" i="1"/>
  <c r="O82" i="1"/>
  <c r="O62" i="1"/>
  <c r="O55" i="1"/>
  <c r="O45" i="1"/>
  <c r="O3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N55" i="1"/>
  <c r="M55" i="1"/>
  <c r="L55" i="1"/>
  <c r="K55" i="1"/>
  <c r="J55" i="1"/>
  <c r="I55" i="1"/>
  <c r="H55" i="1"/>
  <c r="G55" i="1"/>
  <c r="F55" i="1"/>
  <c r="E55" i="1"/>
  <c r="D55" i="1"/>
  <c r="C55" i="1"/>
  <c r="N45" i="1"/>
  <c r="M45" i="1"/>
  <c r="L45" i="1"/>
  <c r="K45" i="1"/>
  <c r="J45" i="1"/>
  <c r="I45" i="1"/>
  <c r="H45" i="1"/>
  <c r="G45" i="1"/>
  <c r="F45" i="1"/>
  <c r="E45" i="1"/>
  <c r="D45" i="1"/>
  <c r="C45" i="1"/>
  <c r="N33" i="1"/>
  <c r="M33" i="1"/>
  <c r="L33" i="1"/>
  <c r="K33" i="1"/>
  <c r="J33" i="1"/>
  <c r="I33" i="1"/>
  <c r="H33" i="1"/>
  <c r="G33" i="1"/>
  <c r="F33" i="1"/>
  <c r="E33" i="1"/>
  <c r="D33" i="1"/>
  <c r="C33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N62" i="1"/>
  <c r="M62" i="1"/>
  <c r="L62" i="1"/>
  <c r="K62" i="1"/>
  <c r="J62" i="1"/>
  <c r="I62" i="1"/>
  <c r="H62" i="1"/>
  <c r="G62" i="1"/>
  <c r="F62" i="1"/>
  <c r="E62" i="1"/>
  <c r="D62" i="1"/>
  <c r="C62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83" i="1"/>
  <c r="O81" i="1"/>
  <c r="O80" i="1"/>
  <c r="O78" i="1"/>
  <c r="O77" i="1"/>
  <c r="O76" i="1"/>
  <c r="O75" i="1"/>
  <c r="O74" i="1"/>
  <c r="O73" i="1"/>
  <c r="O72" i="1"/>
  <c r="O70" i="1"/>
  <c r="O69" i="1"/>
  <c r="O68" i="1"/>
  <c r="O67" i="1"/>
  <c r="O66" i="1"/>
  <c r="O65" i="1"/>
  <c r="O64" i="1"/>
  <c r="O63" i="1"/>
  <c r="O61" i="1"/>
  <c r="O59" i="1"/>
  <c r="O58" i="1"/>
  <c r="O57" i="1"/>
  <c r="O56" i="1"/>
  <c r="O54" i="1"/>
  <c r="O53" i="1"/>
  <c r="O52" i="1"/>
  <c r="O51" i="1"/>
  <c r="O50" i="1"/>
  <c r="O49" i="1"/>
  <c r="O48" i="1"/>
  <c r="O47" i="1"/>
  <c r="O46" i="1"/>
  <c r="O44" i="1"/>
  <c r="O43" i="1"/>
  <c r="O42" i="1"/>
  <c r="O41" i="1"/>
  <c r="O40" i="1"/>
  <c r="O39" i="1"/>
  <c r="O38" i="1"/>
  <c r="O37" i="1"/>
  <c r="O36" i="1"/>
  <c r="O35" i="1"/>
  <c r="O34" i="1"/>
  <c r="O32" i="1"/>
  <c r="O31" i="1"/>
  <c r="O29" i="1"/>
  <c r="O28" i="1"/>
  <c r="O26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O8" i="1"/>
  <c r="O7" i="1"/>
  <c r="O6" i="1"/>
  <c r="O5" i="1"/>
  <c r="O4" i="1"/>
  <c r="O3" i="1"/>
  <c r="O2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l="1"/>
</calcChain>
</file>

<file path=xl/sharedStrings.xml><?xml version="1.0" encoding="utf-8"?>
<sst xmlns="http://schemas.openxmlformats.org/spreadsheetml/2006/main" count="186" uniqueCount="185">
  <si>
    <t>4100</t>
  </si>
  <si>
    <t>Assessments - Bungalows</t>
  </si>
  <si>
    <t>Income</t>
  </si>
  <si>
    <t>4101</t>
  </si>
  <si>
    <t>Assessments - Bungalow Age Restricted</t>
  </si>
  <si>
    <t>4102</t>
  </si>
  <si>
    <t>Assessments - Villas</t>
  </si>
  <si>
    <t>4103</t>
  </si>
  <si>
    <t>Assessments - Urban ROW Homes</t>
  </si>
  <si>
    <t>4104</t>
  </si>
  <si>
    <t>Assessments - Townhomes</t>
  </si>
  <si>
    <t>4106</t>
  </si>
  <si>
    <t>Insurance Assessment - Townhomes</t>
  </si>
  <si>
    <t>4190</t>
  </si>
  <si>
    <t>Reimbursed Expenses/Shared Easement-20%</t>
  </si>
  <si>
    <t>4200</t>
  </si>
  <si>
    <t>Late/NSF Fee</t>
  </si>
  <si>
    <t>4250</t>
  </si>
  <si>
    <t>Collection Fee Charge</t>
  </si>
  <si>
    <t>4410</t>
  </si>
  <si>
    <t>Demand Letter Income</t>
  </si>
  <si>
    <t>4500</t>
  </si>
  <si>
    <t>Interest Income</t>
  </si>
  <si>
    <t>4801</t>
  </si>
  <si>
    <t>CAP Fees</t>
  </si>
  <si>
    <t>5100</t>
  </si>
  <si>
    <t>Administrative Expenses</t>
  </si>
  <si>
    <t>5101</t>
  </si>
  <si>
    <t>Postage</t>
  </si>
  <si>
    <t>5104</t>
  </si>
  <si>
    <t>Printing &amp; Reproduction</t>
  </si>
  <si>
    <t>5105</t>
  </si>
  <si>
    <t>Website Expense</t>
  </si>
  <si>
    <t>5106</t>
  </si>
  <si>
    <t>Homeowner Functions</t>
  </si>
  <si>
    <t>5109</t>
  </si>
  <si>
    <t>Licenses. Permits, &amp; Fees</t>
  </si>
  <si>
    <t>5110</t>
  </si>
  <si>
    <t>Professional Management</t>
  </si>
  <si>
    <t>5120</t>
  </si>
  <si>
    <t>Collection Facilitation Billed back</t>
  </si>
  <si>
    <t>5121</t>
  </si>
  <si>
    <t>Property Inspections</t>
  </si>
  <si>
    <t>5176</t>
  </si>
  <si>
    <t>Legal Fees</t>
  </si>
  <si>
    <t>5181</t>
  </si>
  <si>
    <t>Tax Preparation</t>
  </si>
  <si>
    <t>5192</t>
  </si>
  <si>
    <t>Signs</t>
  </si>
  <si>
    <t>5310</t>
  </si>
  <si>
    <t>General Liability\Property Ins</t>
  </si>
  <si>
    <t>5320</t>
  </si>
  <si>
    <t>Directors &amp; Officers Liability</t>
  </si>
  <si>
    <t>6010</t>
  </si>
  <si>
    <t>Electric</t>
  </si>
  <si>
    <t>6020</t>
  </si>
  <si>
    <t>Water/Sewer</t>
  </si>
  <si>
    <t>6100</t>
  </si>
  <si>
    <t>Oversight Reimbursable Charges</t>
  </si>
  <si>
    <t>6210</t>
  </si>
  <si>
    <t>Fence Repairs</t>
  </si>
  <si>
    <t>6250</t>
  </si>
  <si>
    <t>Pest Control</t>
  </si>
  <si>
    <t>6260</t>
  </si>
  <si>
    <t>Electrical Repairs &amp; Maintenance</t>
  </si>
  <si>
    <t>6290</t>
  </si>
  <si>
    <t>Common Area Maintenance/Cleaning</t>
  </si>
  <si>
    <t>6291</t>
  </si>
  <si>
    <t>General Repairs &amp; Maintenance</t>
  </si>
  <si>
    <t>6345</t>
  </si>
  <si>
    <t>Common Area Porter Service</t>
  </si>
  <si>
    <t>6347</t>
  </si>
  <si>
    <t>Pet Porter Service</t>
  </si>
  <si>
    <t>6510</t>
  </si>
  <si>
    <t>Pond Maintenance - Contract</t>
  </si>
  <si>
    <t>6511</t>
  </si>
  <si>
    <t>Pond Maintenance - Non Contract</t>
  </si>
  <si>
    <t>6513</t>
  </si>
  <si>
    <t>Retention Pond Maintenance</t>
  </si>
  <si>
    <t>6240</t>
  </si>
  <si>
    <t>Amenity Center Maint/Repairs</t>
  </si>
  <si>
    <t>6270</t>
  </si>
  <si>
    <t>Pool Gate Repair &amp; Maintenance</t>
  </si>
  <si>
    <t>6310</t>
  </si>
  <si>
    <t>Pool Key Expense/Access System</t>
  </si>
  <si>
    <t>6320</t>
  </si>
  <si>
    <t>Pool Contract Maintenance</t>
  </si>
  <si>
    <t>6321</t>
  </si>
  <si>
    <t>Pool Emergency Phone</t>
  </si>
  <si>
    <t>6330</t>
  </si>
  <si>
    <t>Pool Supplies/Equipment</t>
  </si>
  <si>
    <t>6340</t>
  </si>
  <si>
    <t>Pool Repairs</t>
  </si>
  <si>
    <t>6346</t>
  </si>
  <si>
    <t>Pool Porter</t>
  </si>
  <si>
    <t>6360</t>
  </si>
  <si>
    <t>Pool Monitoring Service</t>
  </si>
  <si>
    <t>6400</t>
  </si>
  <si>
    <t>Landscape Contract Services-Common Area</t>
  </si>
  <si>
    <t>6401</t>
  </si>
  <si>
    <t>Landscape Contract - Villas/Bungalows</t>
  </si>
  <si>
    <t>6402</t>
  </si>
  <si>
    <t>Landscape Maint &amp; Imprv non-contractual</t>
  </si>
  <si>
    <t>6406</t>
  </si>
  <si>
    <t>Landscape Contract - Row Homes</t>
  </si>
  <si>
    <t>6500</t>
  </si>
  <si>
    <t>Irrigation</t>
  </si>
  <si>
    <t>6701</t>
  </si>
  <si>
    <t>Electric - Easement</t>
  </si>
  <si>
    <t>6702</t>
  </si>
  <si>
    <t>Water/Sewer - Easement</t>
  </si>
  <si>
    <t>6705</t>
  </si>
  <si>
    <t>Landscaping(Contract) - Easement</t>
  </si>
  <si>
    <t>6706</t>
  </si>
  <si>
    <t>Landscape Maint/Improvements - Easement</t>
  </si>
  <si>
    <t>6708</t>
  </si>
  <si>
    <t>Irrigation - Easement</t>
  </si>
  <si>
    <t>6711</t>
  </si>
  <si>
    <t>Fountain Maint(Contract) - Easement</t>
  </si>
  <si>
    <t>6712</t>
  </si>
  <si>
    <t>Fountain Maint(Non-Contract) - Easement</t>
  </si>
  <si>
    <t>6713</t>
  </si>
  <si>
    <t>Common Area Repairs/Maint - Easement</t>
  </si>
  <si>
    <t>5350</t>
  </si>
  <si>
    <t>Townhome Insurance</t>
  </si>
  <si>
    <t>6220</t>
  </si>
  <si>
    <t>Roof and Gutter Repairs</t>
  </si>
  <si>
    <t>6221</t>
  </si>
  <si>
    <t>Building Repair &amp; Maintenance</t>
  </si>
  <si>
    <t>6251</t>
  </si>
  <si>
    <t>Pest Control (Townhomes)</t>
  </si>
  <si>
    <t>6405</t>
  </si>
  <si>
    <t>Landscape Contract - Townhomes</t>
  </si>
  <si>
    <t>6410</t>
  </si>
  <si>
    <t>TH Landscape Maint&amp;Repairs-Non-Contract</t>
  </si>
  <si>
    <t>6411</t>
  </si>
  <si>
    <t>TH Irrigation Repairs</t>
  </si>
  <si>
    <t>6001</t>
  </si>
  <si>
    <t>Reserve Contributions</t>
  </si>
  <si>
    <t>6002</t>
  </si>
  <si>
    <t>Reserve - Townhomes</t>
  </si>
  <si>
    <t>8000</t>
  </si>
  <si>
    <t>Contingency</t>
  </si>
  <si>
    <t>Bungalows</t>
  </si>
  <si>
    <t>Bungalows AR</t>
  </si>
  <si>
    <t>Villas</t>
  </si>
  <si>
    <t>Row Homes</t>
  </si>
  <si>
    <t>Townhomes</t>
  </si>
  <si>
    <t>Total</t>
  </si>
  <si>
    <t xml:space="preserve">Total </t>
  </si>
  <si>
    <t xml:space="preserve">Net Income/Loss </t>
  </si>
  <si>
    <t>All</t>
  </si>
  <si>
    <t>GL</t>
  </si>
  <si>
    <t>Reimburse expense</t>
  </si>
  <si>
    <t>Income total</t>
  </si>
  <si>
    <t>G&amp;A Total</t>
  </si>
  <si>
    <t>Insurance Total</t>
  </si>
  <si>
    <t>Utilities Total</t>
  </si>
  <si>
    <t>Infrastructure &amp; Maintnenace Total</t>
  </si>
  <si>
    <t>Pool Total</t>
  </si>
  <si>
    <t>Landscape Total</t>
  </si>
  <si>
    <t>Irrigation Total</t>
  </si>
  <si>
    <t>Shared Easement Total</t>
  </si>
  <si>
    <t>Townhome expense Total</t>
  </si>
  <si>
    <t xml:space="preserve">Contigency Total </t>
  </si>
  <si>
    <t>Reserve(s) Total</t>
  </si>
  <si>
    <t>Expense Alocation</t>
  </si>
  <si>
    <t>Quarterly</t>
  </si>
  <si>
    <t>Total Quarterly Including Common Area Expense</t>
  </si>
  <si>
    <t>Total less than Income other than Assessments</t>
  </si>
  <si>
    <t xml:space="preserve">Annual </t>
  </si>
  <si>
    <t>Quarterly Assessments</t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</si>
  <si>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</si>
  <si>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</si>
  <si>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</si>
  <si>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</si>
  <si>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</si>
  <si>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</si>
  <si>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</si>
  <si>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</si>
  <si>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 xml:space="preserve">September </t>
  </si>
  <si>
    <t>October</t>
  </si>
  <si>
    <t xml:space="preserve">November </t>
  </si>
  <si>
    <t>December</t>
  </si>
  <si>
    <t>QuarterlyVariance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</si>
</sst>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masis MT Pro Black"/>
      <family val="1"/>
    </font>
    <font>
      <sz val="12"/>
      <name val="Amasis MT Pro Black"/>
      <family val="1"/>
    </font>
    <font>
      <sz val="20"/>
      <name val="Amasis MT Pro Black"/>
      <family val="1"/>
    </font>
    <font>
      <sz val="22"/>
      <name val="Amasis MT Pro Black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44" fontId="1" fillId="0" borderId="0" xfId="0" applyNumberFormat="1" applyFont="1"/>
    <xf numFmtId="44" fontId="1" fillId="2" borderId="5" xfId="0" applyNumberFormat="1" applyFont="1" applyFill="1" applyBorder="1"/>
    <xf numFmtId="44" fontId="1" fillId="2" borderId="10" xfId="0" applyNumberFormat="1" applyFont="1" applyFill="1" applyBorder="1"/>
    <xf numFmtId="44" fontId="1" fillId="2" borderId="13" xfId="0" applyNumberFormat="1" applyFont="1" applyFill="1" applyBorder="1"/>
    <xf numFmtId="44" fontId="1" fillId="2" borderId="14" xfId="0" applyNumberFormat="1" applyFont="1" applyFill="1" applyBorder="1"/>
    <xf numFmtId="44" fontId="1" fillId="2" borderId="16" xfId="0" applyNumberFormat="1" applyFont="1" applyFill="1" applyBorder="1"/>
    <xf numFmtId="44" fontId="1" fillId="2" borderId="2" xfId="0" applyNumberFormat="1" applyFont="1" applyFill="1" applyBorder="1"/>
    <xf numFmtId="44" fontId="1" fillId="2" borderId="20" xfId="0" applyNumberFormat="1" applyFont="1" applyFill="1" applyBorder="1"/>
    <xf numFmtId="44" fontId="1" fillId="2" borderId="21" xfId="0" applyNumberFormat="1" applyFont="1" applyFill="1" applyBorder="1"/>
    <xf numFmtId="44" fontId="1" fillId="3" borderId="5" xfId="0" applyNumberFormat="1" applyFont="1" applyFill="1" applyBorder="1"/>
    <xf numFmtId="44" fontId="1" fillId="3" borderId="1" xfId="0" applyNumberFormat="1" applyFont="1" applyFill="1" applyBorder="1"/>
    <xf numFmtId="44" fontId="1" fillId="3" borderId="18" xfId="0" applyNumberFormat="1" applyFont="1" applyFill="1" applyBorder="1"/>
    <xf numFmtId="44" fontId="1" fillId="3" borderId="21" xfId="0" applyNumberFormat="1" applyFont="1" applyFill="1" applyBorder="1"/>
    <xf numFmtId="44" fontId="3" fillId="2" borderId="1" xfId="0" applyNumberFormat="1" applyFont="1" applyFill="1" applyBorder="1"/>
    <xf numFmtId="44" fontId="1" fillId="3" borderId="7" xfId="0" applyNumberFormat="1" applyFont="1" applyFill="1" applyBorder="1"/>
    <xf numFmtId="44" fontId="4" fillId="3" borderId="8" xfId="0" applyNumberFormat="1" applyFont="1" applyFill="1" applyBorder="1"/>
    <xf numFmtId="7" fontId="1" fillId="3" borderId="22" xfId="0" applyNumberFormat="1" applyFont="1" applyFill="1" applyBorder="1"/>
    <xf numFmtId="44" fontId="1" fillId="4" borderId="11" xfId="0" applyNumberFormat="1" applyFont="1" applyFill="1" applyBorder="1"/>
    <xf numFmtId="44" fontId="1" fillId="4" borderId="17" xfId="0" applyNumberFormat="1" applyFont="1" applyFill="1" applyBorder="1"/>
    <xf numFmtId="44" fontId="1" fillId="4" borderId="1" xfId="0" applyNumberFormat="1" applyFont="1" applyFill="1" applyBorder="1"/>
    <xf numFmtId="44" fontId="1" fillId="4" borderId="18" xfId="0" applyNumberFormat="1" applyFont="1" applyFill="1" applyBorder="1"/>
    <xf numFmtId="44" fontId="1" fillId="5" borderId="1" xfId="0" applyNumberFormat="1" applyFont="1" applyFill="1" applyBorder="1"/>
    <xf numFmtId="44" fontId="1" fillId="5" borderId="18" xfId="0" applyNumberFormat="1" applyFont="1" applyFill="1" applyBorder="1"/>
    <xf numFmtId="44" fontId="1" fillId="6" borderId="1" xfId="0" applyNumberFormat="1" applyFont="1" applyFill="1" applyBorder="1"/>
    <xf numFmtId="44" fontId="1" fillId="6" borderId="18" xfId="0" applyNumberFormat="1" applyFont="1" applyFill="1" applyBorder="1"/>
    <xf numFmtId="44" fontId="1" fillId="7" borderId="1" xfId="0" applyNumberFormat="1" applyFont="1" applyFill="1" applyBorder="1"/>
    <xf numFmtId="44" fontId="1" fillId="7" borderId="18" xfId="0" applyNumberFormat="1" applyFont="1" applyFill="1" applyBorder="1"/>
    <xf numFmtId="44" fontId="1" fillId="8" borderId="1" xfId="0" applyNumberFormat="1" applyFont="1" applyFill="1" applyBorder="1"/>
    <xf numFmtId="44" fontId="1" fillId="8" borderId="18" xfId="0" applyNumberFormat="1" applyFont="1" applyFill="1" applyBorder="1"/>
    <xf numFmtId="44" fontId="1" fillId="9" borderId="1" xfId="0" applyNumberFormat="1" applyFont="1" applyFill="1" applyBorder="1"/>
    <xf numFmtId="44" fontId="1" fillId="9" borderId="18" xfId="0" applyNumberFormat="1" applyFont="1" applyFill="1" applyBorder="1"/>
    <xf numFmtId="44" fontId="1" fillId="10" borderId="1" xfId="0" applyNumberFormat="1" applyFont="1" applyFill="1" applyBorder="1"/>
    <xf numFmtId="44" fontId="1" fillId="10" borderId="18" xfId="0" applyNumberFormat="1" applyFont="1" applyFill="1" applyBorder="1"/>
    <xf numFmtId="44" fontId="1" fillId="2" borderId="27" xfId="0" applyNumberFormat="1" applyFont="1" applyFill="1" applyBorder="1"/>
    <xf numFmtId="44" fontId="1" fillId="3" borderId="28" xfId="0" applyNumberFormat="1" applyFont="1" applyFill="1" applyBorder="1"/>
    <xf numFmtId="44" fontId="1" fillId="2" borderId="28" xfId="0" applyNumberFormat="1" applyFont="1" applyFill="1" applyBorder="1"/>
    <xf numFmtId="7" fontId="1" fillId="3" borderId="29" xfId="0" applyNumberFormat="1" applyFont="1" applyFill="1" applyBorder="1"/>
    <xf numFmtId="40" fontId="1" fillId="2" borderId="2" xfId="0" applyNumberFormat="1" applyFont="1" applyFill="1" applyBorder="1"/>
    <xf numFmtId="40" fontId="1" fillId="2" borderId="31" xfId="0" applyNumberFormat="1" applyFont="1" applyFill="1" applyBorder="1"/>
    <xf numFmtId="40" fontId="1" fillId="2" borderId="32" xfId="0" applyNumberFormat="1" applyFont="1" applyFill="1" applyBorder="1"/>
    <xf numFmtId="40" fontId="1" fillId="2" borderId="2" xfId="0" applyNumberFormat="1" applyFont="1" applyFill="1" applyBorder="1" applyAlignment="1">
      <alignment wrapText="1"/>
    </xf>
    <xf numFmtId="40" fontId="1" fillId="4" borderId="23" xfId="0" applyNumberFormat="1" applyFont="1" applyFill="1" applyBorder="1"/>
    <xf numFmtId="40" fontId="1" fillId="4" borderId="24" xfId="0" applyNumberFormat="1" applyFont="1" applyFill="1" applyBorder="1"/>
    <xf numFmtId="40" fontId="1" fillId="0" borderId="0" xfId="0" applyNumberFormat="1" applyFont="1"/>
    <xf numFmtId="40" fontId="1" fillId="5" borderId="23" xfId="0" applyNumberFormat="1" applyFont="1" applyFill="1" applyBorder="1"/>
    <xf numFmtId="40" fontId="1" fillId="5" borderId="24" xfId="0" applyNumberFormat="1" applyFont="1" applyFill="1" applyBorder="1"/>
    <xf numFmtId="40" fontId="1" fillId="6" borderId="23" xfId="0" applyNumberFormat="1" applyFont="1" applyFill="1" applyBorder="1"/>
    <xf numFmtId="40" fontId="1" fillId="6" borderId="24" xfId="0" applyNumberFormat="1" applyFont="1" applyFill="1" applyBorder="1"/>
    <xf numFmtId="40" fontId="1" fillId="7" borderId="23" xfId="0" applyNumberFormat="1" applyFont="1" applyFill="1" applyBorder="1"/>
    <xf numFmtId="40" fontId="1" fillId="7" borderId="24" xfId="0" applyNumberFormat="1" applyFont="1" applyFill="1" applyBorder="1"/>
    <xf numFmtId="40" fontId="1" fillId="8" borderId="25" xfId="0" applyNumberFormat="1" applyFont="1" applyFill="1" applyBorder="1"/>
    <xf numFmtId="40" fontId="1" fillId="8" borderId="26" xfId="0" applyNumberFormat="1" applyFont="1" applyFill="1" applyBorder="1"/>
    <xf numFmtId="40" fontId="1" fillId="10" borderId="23" xfId="0" applyNumberFormat="1" applyFont="1" applyFill="1" applyBorder="1"/>
    <xf numFmtId="40" fontId="1" fillId="10" borderId="0" xfId="0" applyNumberFormat="1" applyFont="1" applyFill="1"/>
    <xf numFmtId="40" fontId="1" fillId="0" borderId="32" xfId="0" applyNumberFormat="1" applyFont="1" applyBorder="1"/>
    <xf numFmtId="40" fontId="1" fillId="2" borderId="19" xfId="0" applyNumberFormat="1" applyFont="1" applyFill="1" applyBorder="1" applyAlignment="1">
      <alignment horizontal="center" wrapText="1"/>
    </xf>
    <xf numFmtId="40" fontId="1" fillId="2" borderId="2" xfId="0" applyNumberFormat="1" applyFont="1" applyFill="1" applyBorder="1" applyAlignment="1">
      <alignment horizontal="center" wrapText="1"/>
    </xf>
    <xf numFmtId="40" fontId="1" fillId="0" borderId="10" xfId="0" applyNumberFormat="1" applyFont="1" applyBorder="1"/>
    <xf numFmtId="40" fontId="1" fillId="0" borderId="12" xfId="0" applyNumberFormat="1" applyFont="1" applyBorder="1"/>
    <xf numFmtId="40" fontId="1" fillId="0" borderId="5" xfId="0" applyNumberFormat="1" applyFont="1" applyBorder="1"/>
    <xf numFmtId="40" fontId="1" fillId="0" borderId="6" xfId="0" applyNumberFormat="1" applyFont="1" applyBorder="1"/>
    <xf numFmtId="40" fontId="1" fillId="0" borderId="7" xfId="0" applyNumberFormat="1" applyFont="1" applyBorder="1"/>
    <xf numFmtId="40" fontId="1" fillId="0" borderId="9" xfId="0" applyNumberFormat="1" applyFont="1" applyBorder="1"/>
    <xf numFmtId="8" fontId="1" fillId="9" borderId="13" xfId="0" applyNumberFormat="1" applyFont="1" applyFill="1" applyBorder="1"/>
    <xf numFmtId="8" fontId="1" fillId="9" borderId="15" xfId="0" applyNumberFormat="1" applyFont="1" applyFill="1" applyBorder="1"/>
    <xf numFmtId="8" fontId="1" fillId="0" borderId="10" xfId="0" applyNumberFormat="1" applyFont="1" applyBorder="1"/>
    <xf numFmtId="8" fontId="1" fillId="0" borderId="12" xfId="0" applyNumberFormat="1" applyFont="1" applyBorder="1"/>
    <xf numFmtId="8" fontId="1" fillId="0" borderId="5" xfId="0" applyNumberFormat="1" applyFont="1" applyBorder="1"/>
    <xf numFmtId="8" fontId="1" fillId="0" borderId="6" xfId="0" applyNumberFormat="1" applyFont="1" applyBorder="1"/>
    <xf numFmtId="8" fontId="1" fillId="0" borderId="33" xfId="0" applyNumberFormat="1" applyFont="1" applyBorder="1"/>
    <xf numFmtId="8" fontId="1" fillId="0" borderId="34" xfId="0" applyNumberFormat="1" applyFont="1" applyBorder="1"/>
    <xf numFmtId="8" fontId="1" fillId="2" borderId="3" xfId="0" applyNumberFormat="1" applyFont="1" applyFill="1" applyBorder="1"/>
    <xf numFmtId="8" fontId="1" fillId="2" borderId="4" xfId="0" applyNumberFormat="1" applyFont="1" applyFill="1" applyBorder="1"/>
    <xf numFmtId="8" fontId="1" fillId="9" borderId="5" xfId="0" applyNumberFormat="1" applyFont="1" applyFill="1" applyBorder="1"/>
    <xf numFmtId="8" fontId="1" fillId="9" borderId="6" xfId="0" applyNumberFormat="1" applyFont="1" applyFill="1" applyBorder="1"/>
    <xf numFmtId="8" fontId="1" fillId="11" borderId="5" xfId="0" applyNumberFormat="1" applyFont="1" applyFill="1" applyBorder="1"/>
    <xf numFmtId="8" fontId="1" fillId="11" borderId="6" xfId="0" applyNumberFormat="1" applyFont="1" applyFill="1" applyBorder="1"/>
    <xf numFmtId="8" fontId="1" fillId="6" borderId="5" xfId="0" applyNumberFormat="1" applyFont="1" applyFill="1" applyBorder="1"/>
    <xf numFmtId="8" fontId="1" fillId="6" borderId="6" xfId="0" applyNumberFormat="1" applyFont="1" applyFill="1" applyBorder="1"/>
    <xf numFmtId="8" fontId="1" fillId="7" borderId="5" xfId="0" applyNumberFormat="1" applyFont="1" applyFill="1" applyBorder="1"/>
    <xf numFmtId="8" fontId="1" fillId="7" borderId="6" xfId="0" applyNumberFormat="1" applyFont="1" applyFill="1" applyBorder="1"/>
    <xf numFmtId="8" fontId="1" fillId="9" borderId="7" xfId="0" applyNumberFormat="1" applyFont="1" applyFill="1" applyBorder="1"/>
    <xf numFmtId="8" fontId="1" fillId="9" borderId="9" xfId="0" applyNumberFormat="1" applyFont="1" applyFill="1" applyBorder="1"/>
    <xf numFmtId="8" fontId="1" fillId="0" borderId="30" xfId="0" applyNumberFormat="1" applyFont="1" applyBorder="1"/>
    <xf numFmtId="8" fontId="1" fillId="0" borderId="0" xfId="0" applyNumberFormat="1" applyFont="1"/>
    <xf numFmtId="8" fontId="1" fillId="2" borderId="30" xfId="0" applyNumberFormat="1" applyFont="1" applyFill="1" applyBorder="1"/>
    <xf numFmtId="8" fontId="1" fillId="0" borderId="24" xfId="0" applyNumberFormat="1" applyFont="1" applyBorder="1"/>
    <xf numFmtId="8" fontId="1" fillId="0" borderId="2" xfId="0" applyNumberFormat="1" applyFont="1" applyBorder="1"/>
    <xf numFmtId="8" fontId="1" fillId="0" borderId="32" xfId="0" applyNumberFormat="1" applyFont="1" applyBorder="1"/>
    <xf numFmtId="8" fontId="1" fillId="2" borderId="2" xfId="0" applyNumberFormat="1" applyFont="1" applyFill="1" applyBorder="1"/>
    <xf numFmtId="8" fontId="1" fillId="0" borderId="19" xfId="0" applyNumberFormat="1" applyFont="1" applyBorder="1"/>
    <xf numFmtId="40" fontId="2" fillId="0" borderId="23" xfId="0" applyNumberFormat="1" applyFont="1" applyBorder="1" applyAlignment="1">
      <alignment horizontal="center" wrapText="1"/>
    </xf>
    <xf numFmtId="40" fontId="2" fillId="0" borderId="25" xfId="0" applyNumberFormat="1" applyFont="1" applyBorder="1" applyAlignment="1">
      <alignment horizontal="center" wrapText="1"/>
    </xf>
    <xf numFmtId="40" fontId="1" fillId="0" borderId="31" xfId="0" applyNumberFormat="1" applyFont="1" applyBorder="1" applyAlignment="1">
      <alignment horizontal="center"/>
    </xf>
    <xf numFmtId="40" fontId="1" fillId="0" borderId="3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6"/>
  <sheetViews>
    <sheetView tabSelected="1" topLeftCell="J1" zoomScale="85" zoomScaleNormal="85" workbookViewId="0">
      <selection activeCell="X2" sqref="X2"/>
    </sheetView>
  </sheetViews>
  <sheetFormatPr defaultRowHeight="13.5" x14ac:dyDescent="0.25"/>
  <cols>
    <col min="1" max="1" width="13" style="1" bestFit="1" customWidth="1"/>
    <col min="2" max="2" width="44" style="1" customWidth="1"/>
    <col min="3" max="3" width="17.5703125" style="1" customWidth="1"/>
    <col min="4" max="4" width="14.85546875" style="1" customWidth="1"/>
    <col min="5" max="5" width="16.28515625" style="1" customWidth="1"/>
    <col min="6" max="6" width="18.7109375" style="1" customWidth="1"/>
    <col min="7" max="7" width="18.28515625" style="1" customWidth="1"/>
    <col min="8" max="8" width="15.7109375" style="1" customWidth="1"/>
    <col min="9" max="9" width="14.140625" style="1" customWidth="1"/>
    <col min="10" max="10" width="17.140625" style="1" customWidth="1"/>
    <col min="11" max="11" width="14.85546875" style="1" customWidth="1"/>
    <col min="12" max="12" width="14.5703125" style="1" customWidth="1"/>
    <col min="13" max="13" width="15.140625" style="1" customWidth="1"/>
    <col min="14" max="14" width="18" style="1" customWidth="1"/>
    <col min="15" max="15" width="14.85546875" style="1" bestFit="1" customWidth="1"/>
    <col min="16" max="16" width="27.5703125" style="1" customWidth="1"/>
    <col min="17" max="17" width="18.42578125" style="1" customWidth="1"/>
    <col min="18" max="18" width="9.85546875" style="1" bestFit="1" customWidth="1"/>
    <col min="19" max="19" width="10.5703125" style="1" bestFit="1" customWidth="1"/>
    <col min="20" max="20" width="27.7109375" style="1" customWidth="1"/>
    <col min="21" max="21" width="18.7109375" style="1" customWidth="1"/>
    <col min="22" max="23" width="18.140625" style="1" customWidth="1"/>
    <col min="24" max="24" width="10" style="1" bestFit="1" customWidth="1"/>
    <col min="25" max="16384" width="9.140625" style="1"/>
  </cols>
  <sheetData>
    <row r="1" spans="1:24" ht="54.75" thickBot="1" x14ac:dyDescent="0.3">
      <c r="A1" s="4" t="s">
        <v>152</v>
      </c>
      <c r="B1" s="5" t="s">
        <v>2</v>
      </c>
      <c r="C1" s="5" t="s">
        <v>172</v>
      </c>
      <c r="D1" s="5" t="s">
        <v>173</v>
      </c>
      <c r="E1" s="5" t="s">
        <v>174</v>
      </c>
      <c r="F1" s="5" t="s">
        <v>175</v>
      </c>
      <c r="G1" s="5" t="s">
        <v>176</v>
      </c>
      <c r="H1" s="5" t="s">
        <v>177</v>
      </c>
      <c r="I1" s="5" t="s">
        <v>178</v>
      </c>
      <c r="J1" s="5" t="s">
        <v>179</v>
      </c>
      <c r="K1" s="5" t="s">
        <v>180</v>
      </c>
      <c r="L1" s="5" t="s">
        <v>181</v>
      </c>
      <c r="M1" s="5" t="s">
        <v>182</v>
      </c>
      <c r="N1" s="6" t="s">
        <v>183</v>
      </c>
      <c r="O1" s="7" t="s">
        <v>149</v>
      </c>
      <c r="P1" s="38" t="s">
        <v>171</v>
      </c>
      <c r="Q1" s="39"/>
      <c r="R1" s="40"/>
      <c r="S1" s="40"/>
      <c r="T1" s="38" t="s">
        <v>166</v>
      </c>
      <c r="U1" s="40" t="s">
        <v>167</v>
      </c>
      <c r="V1" s="57" t="s">
        <v>168</v>
      </c>
      <c r="W1" s="56" t="s">
        <v>169</v>
      </c>
      <c r="X1" s="41" t="s">
        <v>184</v>
      </c>
    </row>
    <row r="2" spans="1:24" x14ac:dyDescent="0.25">
      <c r="A2" s="3" t="s">
        <v>0</v>
      </c>
      <c r="B2" s="18" t="s">
        <v>1</v>
      </c>
      <c r="C2" s="18">
        <v>10493</v>
      </c>
      <c r="D2" s="18">
        <v>0</v>
      </c>
      <c r="E2" s="18">
        <v>0</v>
      </c>
      <c r="F2" s="18">
        <v>10494</v>
      </c>
      <c r="G2" s="18">
        <v>0</v>
      </c>
      <c r="H2" s="18">
        <v>0</v>
      </c>
      <c r="I2" s="18">
        <v>10493</v>
      </c>
      <c r="J2" s="18">
        <v>0</v>
      </c>
      <c r="K2" s="18">
        <v>0</v>
      </c>
      <c r="L2" s="18">
        <v>10493.12</v>
      </c>
      <c r="M2" s="18">
        <v>0</v>
      </c>
      <c r="N2" s="19">
        <v>0</v>
      </c>
      <c r="O2" s="8">
        <f>SUM(C2:N2)</f>
        <v>41973.120000000003</v>
      </c>
      <c r="P2" s="84">
        <f>O2/28/4</f>
        <v>374.76000000000005</v>
      </c>
      <c r="Q2" s="42" t="s">
        <v>143</v>
      </c>
      <c r="R2" s="43">
        <v>28</v>
      </c>
      <c r="S2" s="92">
        <f>SUM(R2:R4)</f>
        <v>81</v>
      </c>
      <c r="T2" s="84">
        <v>548.52</v>
      </c>
      <c r="U2" s="85">
        <f>548.52/4</f>
        <v>137.13</v>
      </c>
      <c r="V2" s="86">
        <f>137.13+244.67</f>
        <v>381.79999999999995</v>
      </c>
      <c r="W2" s="87">
        <f>381.8-9.82</f>
        <v>371.98</v>
      </c>
      <c r="X2" s="84">
        <f t="shared" ref="X2:X5" si="0">P2-W2</f>
        <v>2.7800000000000296</v>
      </c>
    </row>
    <row r="3" spans="1:24" x14ac:dyDescent="0.25">
      <c r="A3" s="2" t="s">
        <v>3</v>
      </c>
      <c r="B3" s="20" t="s">
        <v>4</v>
      </c>
      <c r="C3" s="20">
        <v>8619.48</v>
      </c>
      <c r="D3" s="20">
        <v>0</v>
      </c>
      <c r="E3" s="20">
        <v>0</v>
      </c>
      <c r="F3" s="20">
        <v>8619.48</v>
      </c>
      <c r="G3" s="20">
        <v>0</v>
      </c>
      <c r="H3" s="20">
        <v>0</v>
      </c>
      <c r="I3" s="20">
        <v>8619.48</v>
      </c>
      <c r="J3" s="20">
        <v>0</v>
      </c>
      <c r="K3" s="20">
        <v>0</v>
      </c>
      <c r="L3" s="20">
        <v>8619.48</v>
      </c>
      <c r="M3" s="20">
        <v>0</v>
      </c>
      <c r="N3" s="21">
        <v>0</v>
      </c>
      <c r="O3" s="8">
        <f t="shared" ref="O3:O13" si="1">SUM(C3:N3)</f>
        <v>34477.919999999998</v>
      </c>
      <c r="P3" s="84">
        <f>O3/23/4</f>
        <v>374.76</v>
      </c>
      <c r="Q3" s="42" t="s">
        <v>144</v>
      </c>
      <c r="R3" s="43">
        <v>23</v>
      </c>
      <c r="S3" s="92"/>
      <c r="T3" s="84">
        <v>548.52</v>
      </c>
      <c r="U3" s="85">
        <f>548.52/4</f>
        <v>137.13</v>
      </c>
      <c r="V3" s="86">
        <f>137.13+244.67</f>
        <v>381.79999999999995</v>
      </c>
      <c r="W3" s="87">
        <f>381.8-9.82</f>
        <v>371.98</v>
      </c>
      <c r="X3" s="84">
        <f t="shared" si="0"/>
        <v>2.7799999999999727</v>
      </c>
    </row>
    <row r="4" spans="1:24" ht="14.25" thickBot="1" x14ac:dyDescent="0.3">
      <c r="A4" s="2" t="s">
        <v>5</v>
      </c>
      <c r="B4" s="22" t="s">
        <v>6</v>
      </c>
      <c r="C4" s="22">
        <v>11242.8</v>
      </c>
      <c r="D4" s="22">
        <v>0</v>
      </c>
      <c r="E4" s="22">
        <v>0</v>
      </c>
      <c r="F4" s="22">
        <v>11242.8</v>
      </c>
      <c r="G4" s="22">
        <v>0</v>
      </c>
      <c r="H4" s="22">
        <v>0</v>
      </c>
      <c r="I4" s="22">
        <v>11242.8</v>
      </c>
      <c r="J4" s="22">
        <v>0</v>
      </c>
      <c r="K4" s="22">
        <v>0</v>
      </c>
      <c r="L4" s="22">
        <v>11242.8</v>
      </c>
      <c r="M4" s="22">
        <v>0</v>
      </c>
      <c r="N4" s="23">
        <v>0</v>
      </c>
      <c r="O4" s="8">
        <f t="shared" si="1"/>
        <v>44971.199999999997</v>
      </c>
      <c r="P4" s="84">
        <f>O4/30/4</f>
        <v>374.76</v>
      </c>
      <c r="Q4" s="45" t="s">
        <v>145</v>
      </c>
      <c r="R4" s="46">
        <v>30</v>
      </c>
      <c r="S4" s="93"/>
      <c r="T4" s="84">
        <v>548.52</v>
      </c>
      <c r="U4" s="85">
        <f>548.52/4</f>
        <v>137.13</v>
      </c>
      <c r="V4" s="86">
        <f>137.13+244.67</f>
        <v>381.79999999999995</v>
      </c>
      <c r="W4" s="87">
        <f>381.8-9.82</f>
        <v>371.98</v>
      </c>
      <c r="X4" s="84">
        <f t="shared" si="0"/>
        <v>2.7799999999999727</v>
      </c>
    </row>
    <row r="5" spans="1:24" x14ac:dyDescent="0.25">
      <c r="A5" s="2" t="s">
        <v>7</v>
      </c>
      <c r="B5" s="24" t="s">
        <v>8</v>
      </c>
      <c r="C5" s="24">
        <v>19442.13</v>
      </c>
      <c r="D5" s="24">
        <v>0</v>
      </c>
      <c r="E5" s="24">
        <v>0</v>
      </c>
      <c r="F5" s="24">
        <v>19442.13</v>
      </c>
      <c r="G5" s="24">
        <v>0</v>
      </c>
      <c r="H5" s="24">
        <v>0</v>
      </c>
      <c r="I5" s="24">
        <v>19442.13</v>
      </c>
      <c r="J5" s="24">
        <v>0</v>
      </c>
      <c r="K5" s="24">
        <v>0</v>
      </c>
      <c r="L5" s="24">
        <v>19442.13</v>
      </c>
      <c r="M5" s="24">
        <v>0</v>
      </c>
      <c r="N5" s="25">
        <v>0</v>
      </c>
      <c r="O5" s="8">
        <f t="shared" si="1"/>
        <v>77768.52</v>
      </c>
      <c r="P5" s="84">
        <f>O5/57/4</f>
        <v>341.09000000000003</v>
      </c>
      <c r="Q5" s="47" t="s">
        <v>146</v>
      </c>
      <c r="R5" s="48">
        <v>57</v>
      </c>
      <c r="S5" s="44"/>
      <c r="T5" s="84">
        <v>428.71</v>
      </c>
      <c r="U5" s="85">
        <f>428.71/4</f>
        <v>107.17749999999999</v>
      </c>
      <c r="V5" s="86">
        <f>107.18+244.67</f>
        <v>351.85</v>
      </c>
      <c r="W5" s="87">
        <f>351.85-9.82</f>
        <v>342.03000000000003</v>
      </c>
      <c r="X5" s="84">
        <f t="shared" si="0"/>
        <v>-0.93999999999999773</v>
      </c>
    </row>
    <row r="6" spans="1:24" x14ac:dyDescent="0.25">
      <c r="A6" s="2" t="s">
        <v>9</v>
      </c>
      <c r="B6" s="26" t="s">
        <v>10</v>
      </c>
      <c r="C6" s="26">
        <v>80897</v>
      </c>
      <c r="D6" s="26">
        <v>0</v>
      </c>
      <c r="E6" s="26">
        <v>0</v>
      </c>
      <c r="F6" s="26">
        <v>80897</v>
      </c>
      <c r="G6" s="26">
        <v>0</v>
      </c>
      <c r="H6" s="26">
        <v>0</v>
      </c>
      <c r="I6" s="26">
        <v>80897</v>
      </c>
      <c r="J6" s="26">
        <v>0</v>
      </c>
      <c r="K6" s="26">
        <v>0</v>
      </c>
      <c r="L6" s="26">
        <v>80896.44</v>
      </c>
      <c r="M6" s="26">
        <v>0</v>
      </c>
      <c r="N6" s="27">
        <v>0</v>
      </c>
      <c r="O6" s="8">
        <f t="shared" si="1"/>
        <v>323587.44</v>
      </c>
      <c r="P6" s="84">
        <f>O6/198/4</f>
        <v>408.57</v>
      </c>
      <c r="Q6" s="49" t="s">
        <v>147</v>
      </c>
      <c r="R6" s="50">
        <v>198</v>
      </c>
      <c r="S6" s="44"/>
      <c r="T6" s="84">
        <f>626.56+P81</f>
        <v>698.31727272727267</v>
      </c>
      <c r="U6" s="85">
        <f>T6/4</f>
        <v>174.57931818181817</v>
      </c>
      <c r="V6" s="86">
        <f>U6+244.67</f>
        <v>419.24931818181813</v>
      </c>
      <c r="W6" s="87">
        <f>V6-9.82</f>
        <v>409.42931818181813</v>
      </c>
      <c r="X6" s="84">
        <f>P6-W6</f>
        <v>-0.85931818181813924</v>
      </c>
    </row>
    <row r="7" spans="1:24" ht="14.25" thickBot="1" x14ac:dyDescent="0.3">
      <c r="A7" s="2" t="s">
        <v>11</v>
      </c>
      <c r="B7" s="26" t="s">
        <v>12</v>
      </c>
      <c r="C7" s="26">
        <v>56430</v>
      </c>
      <c r="D7" s="26">
        <v>0</v>
      </c>
      <c r="E7" s="26">
        <v>0</v>
      </c>
      <c r="F7" s="26">
        <v>56430</v>
      </c>
      <c r="G7" s="26">
        <v>0</v>
      </c>
      <c r="H7" s="26">
        <v>0</v>
      </c>
      <c r="I7" s="26">
        <v>56430</v>
      </c>
      <c r="J7" s="26">
        <v>0</v>
      </c>
      <c r="K7" s="26">
        <v>0</v>
      </c>
      <c r="L7" s="26">
        <v>56430</v>
      </c>
      <c r="M7" s="26">
        <v>0</v>
      </c>
      <c r="N7" s="27">
        <v>0</v>
      </c>
      <c r="O7" s="8">
        <f t="shared" si="1"/>
        <v>225720</v>
      </c>
      <c r="P7" s="84">
        <f>O7/198/4</f>
        <v>285</v>
      </c>
      <c r="Q7" s="51" t="s">
        <v>151</v>
      </c>
      <c r="R7" s="52">
        <f>SUM(R2:R6)</f>
        <v>336</v>
      </c>
      <c r="S7" s="44"/>
      <c r="T7" s="84">
        <f>SUM(P27,P30,P33,P45,P55,P56,P58,P62,P71,P80,P83)</f>
        <v>978.69571428571419</v>
      </c>
      <c r="U7" s="85">
        <f>T7/4</f>
        <v>244.67392857142855</v>
      </c>
      <c r="V7" s="86"/>
      <c r="W7" s="87"/>
      <c r="X7" s="84"/>
    </row>
    <row r="8" spans="1:24" ht="14.25" thickBot="1" x14ac:dyDescent="0.3">
      <c r="A8" s="2" t="s">
        <v>13</v>
      </c>
      <c r="B8" s="32" t="s">
        <v>14</v>
      </c>
      <c r="C8" s="32">
        <v>2795.86</v>
      </c>
      <c r="D8" s="32">
        <v>0</v>
      </c>
      <c r="E8" s="32">
        <v>0</v>
      </c>
      <c r="F8" s="32">
        <v>2795.86</v>
      </c>
      <c r="G8" s="32">
        <v>0</v>
      </c>
      <c r="H8" s="32">
        <v>0</v>
      </c>
      <c r="I8" s="32">
        <v>2795.85</v>
      </c>
      <c r="J8" s="32">
        <v>0</v>
      </c>
      <c r="K8" s="32">
        <v>0</v>
      </c>
      <c r="L8" s="32">
        <v>2795.86</v>
      </c>
      <c r="M8" s="32">
        <v>0</v>
      </c>
      <c r="N8" s="33">
        <v>0</v>
      </c>
      <c r="O8" s="8">
        <f t="shared" si="1"/>
        <v>11183.43</v>
      </c>
      <c r="P8" s="84">
        <f>11183.43/336/4</f>
        <v>8.3210044642857142</v>
      </c>
      <c r="Q8" s="53" t="s">
        <v>153</v>
      </c>
      <c r="R8" s="54"/>
      <c r="S8" s="44"/>
      <c r="T8" s="84"/>
      <c r="U8" s="85"/>
      <c r="V8" s="86"/>
      <c r="W8" s="87"/>
      <c r="X8" s="84"/>
    </row>
    <row r="9" spans="1:24" ht="14.25" thickBot="1" x14ac:dyDescent="0.3">
      <c r="A9" s="2" t="s">
        <v>15</v>
      </c>
      <c r="B9" s="30" t="s">
        <v>16</v>
      </c>
      <c r="C9" s="30">
        <v>400</v>
      </c>
      <c r="D9" s="30">
        <v>400</v>
      </c>
      <c r="E9" s="30">
        <v>400</v>
      </c>
      <c r="F9" s="30">
        <v>400</v>
      </c>
      <c r="G9" s="30">
        <v>400</v>
      </c>
      <c r="H9" s="30">
        <v>400</v>
      </c>
      <c r="I9" s="30">
        <v>400</v>
      </c>
      <c r="J9" s="30">
        <v>400</v>
      </c>
      <c r="K9" s="30">
        <v>400</v>
      </c>
      <c r="L9" s="30">
        <v>400</v>
      </c>
      <c r="M9" s="30">
        <v>400</v>
      </c>
      <c r="N9" s="31">
        <v>400</v>
      </c>
      <c r="O9" s="8">
        <f t="shared" si="1"/>
        <v>4800</v>
      </c>
      <c r="P9" s="88"/>
      <c r="Q9" s="94"/>
      <c r="R9" s="95"/>
      <c r="S9" s="55"/>
      <c r="T9" s="88"/>
      <c r="U9" s="89"/>
      <c r="V9" s="90"/>
      <c r="W9" s="91"/>
      <c r="X9" s="88"/>
    </row>
    <row r="10" spans="1:24" x14ac:dyDescent="0.25">
      <c r="A10" s="2" t="s">
        <v>17</v>
      </c>
      <c r="B10" s="30" t="s">
        <v>18</v>
      </c>
      <c r="C10" s="30">
        <v>240</v>
      </c>
      <c r="D10" s="30">
        <v>240</v>
      </c>
      <c r="E10" s="30">
        <v>240</v>
      </c>
      <c r="F10" s="30">
        <v>240</v>
      </c>
      <c r="G10" s="30">
        <v>240</v>
      </c>
      <c r="H10" s="30">
        <v>240</v>
      </c>
      <c r="I10" s="30">
        <v>240</v>
      </c>
      <c r="J10" s="30">
        <v>240</v>
      </c>
      <c r="K10" s="30">
        <v>240</v>
      </c>
      <c r="L10" s="30">
        <v>240</v>
      </c>
      <c r="M10" s="30">
        <v>240</v>
      </c>
      <c r="N10" s="31">
        <v>240</v>
      </c>
      <c r="O10" s="8">
        <f t="shared" si="1"/>
        <v>2880</v>
      </c>
    </row>
    <row r="11" spans="1:24" x14ac:dyDescent="0.25">
      <c r="A11" s="2" t="s">
        <v>19</v>
      </c>
      <c r="B11" s="30" t="s">
        <v>20</v>
      </c>
      <c r="C11" s="30">
        <v>0</v>
      </c>
      <c r="D11" s="30">
        <v>105</v>
      </c>
      <c r="E11" s="30">
        <v>0</v>
      </c>
      <c r="F11" s="30">
        <v>0</v>
      </c>
      <c r="G11" s="30">
        <v>105</v>
      </c>
      <c r="H11" s="30">
        <v>0</v>
      </c>
      <c r="I11" s="30">
        <v>0</v>
      </c>
      <c r="J11" s="30">
        <v>105</v>
      </c>
      <c r="K11" s="30">
        <v>0</v>
      </c>
      <c r="L11" s="30">
        <v>0</v>
      </c>
      <c r="M11" s="30">
        <v>105</v>
      </c>
      <c r="N11" s="31">
        <v>0</v>
      </c>
      <c r="O11" s="8">
        <f t="shared" si="1"/>
        <v>420</v>
      </c>
    </row>
    <row r="12" spans="1:24" ht="14.25" thickBot="1" x14ac:dyDescent="0.3">
      <c r="A12" s="2" t="s">
        <v>21</v>
      </c>
      <c r="B12" s="30" t="s">
        <v>22</v>
      </c>
      <c r="C12" s="30">
        <v>8</v>
      </c>
      <c r="D12" s="30">
        <v>8</v>
      </c>
      <c r="E12" s="30">
        <v>8</v>
      </c>
      <c r="F12" s="30">
        <v>8</v>
      </c>
      <c r="G12" s="30">
        <v>8</v>
      </c>
      <c r="H12" s="30">
        <v>8</v>
      </c>
      <c r="I12" s="30">
        <v>8</v>
      </c>
      <c r="J12" s="30">
        <v>8</v>
      </c>
      <c r="K12" s="30">
        <v>8</v>
      </c>
      <c r="L12" s="30">
        <v>8</v>
      </c>
      <c r="M12" s="30">
        <v>8</v>
      </c>
      <c r="N12" s="31">
        <v>8</v>
      </c>
      <c r="O12" s="8">
        <f t="shared" si="1"/>
        <v>96</v>
      </c>
    </row>
    <row r="13" spans="1:24" ht="14.25" thickBot="1" x14ac:dyDescent="0.3">
      <c r="A13" s="2" t="s">
        <v>23</v>
      </c>
      <c r="B13" s="30" t="s">
        <v>24</v>
      </c>
      <c r="C13" s="30">
        <v>417</v>
      </c>
      <c r="D13" s="30">
        <v>416</v>
      </c>
      <c r="E13" s="30">
        <v>417</v>
      </c>
      <c r="F13" s="30">
        <v>417</v>
      </c>
      <c r="G13" s="30">
        <v>417</v>
      </c>
      <c r="H13" s="30">
        <v>416</v>
      </c>
      <c r="I13" s="30">
        <v>417</v>
      </c>
      <c r="J13" s="30">
        <v>417</v>
      </c>
      <c r="K13" s="30">
        <v>416</v>
      </c>
      <c r="L13" s="30">
        <v>417</v>
      </c>
      <c r="M13" s="30">
        <v>417</v>
      </c>
      <c r="N13" s="31">
        <v>416</v>
      </c>
      <c r="O13" s="34">
        <f t="shared" si="1"/>
        <v>5000</v>
      </c>
      <c r="P13" s="64">
        <f>SUM(O9:O13)</f>
        <v>13196</v>
      </c>
      <c r="Q13" s="65">
        <f>P13/336/4</f>
        <v>9.8184523809523814</v>
      </c>
    </row>
    <row r="14" spans="1:24" x14ac:dyDescent="0.25">
      <c r="A14" s="10"/>
      <c r="B14" s="11" t="s">
        <v>154</v>
      </c>
      <c r="C14" s="11">
        <f>SUM(C2:C13)</f>
        <v>190985.27</v>
      </c>
      <c r="D14" s="11">
        <f t="shared" ref="D14:O14" si="2">SUM(D2:D13)</f>
        <v>1169</v>
      </c>
      <c r="E14" s="11">
        <f t="shared" si="2"/>
        <v>1065</v>
      </c>
      <c r="F14" s="11">
        <f t="shared" si="2"/>
        <v>190986.27</v>
      </c>
      <c r="G14" s="11">
        <f t="shared" si="2"/>
        <v>1170</v>
      </c>
      <c r="H14" s="11">
        <f t="shared" si="2"/>
        <v>1064</v>
      </c>
      <c r="I14" s="11">
        <f t="shared" si="2"/>
        <v>190985.26</v>
      </c>
      <c r="J14" s="11">
        <f t="shared" si="2"/>
        <v>1170</v>
      </c>
      <c r="K14" s="11">
        <f t="shared" si="2"/>
        <v>1064</v>
      </c>
      <c r="L14" s="11">
        <f t="shared" si="2"/>
        <v>190984.83</v>
      </c>
      <c r="M14" s="11">
        <f t="shared" si="2"/>
        <v>1170</v>
      </c>
      <c r="N14" s="12">
        <f t="shared" si="2"/>
        <v>1064</v>
      </c>
      <c r="O14" s="35">
        <f t="shared" si="2"/>
        <v>772877.63</v>
      </c>
      <c r="P14" s="66"/>
      <c r="Q14" s="67"/>
    </row>
    <row r="15" spans="1:24" x14ac:dyDescent="0.25">
      <c r="A15" s="2" t="s">
        <v>25</v>
      </c>
      <c r="B15" s="30" t="s">
        <v>26</v>
      </c>
      <c r="C15" s="30">
        <v>75</v>
      </c>
      <c r="D15" s="30">
        <v>435</v>
      </c>
      <c r="E15" s="30">
        <v>75</v>
      </c>
      <c r="F15" s="30">
        <v>75</v>
      </c>
      <c r="G15" s="30">
        <v>75</v>
      </c>
      <c r="H15" s="30">
        <v>90</v>
      </c>
      <c r="I15" s="30">
        <v>75</v>
      </c>
      <c r="J15" s="30">
        <v>75</v>
      </c>
      <c r="K15" s="30">
        <v>75</v>
      </c>
      <c r="L15" s="30">
        <v>75</v>
      </c>
      <c r="M15" s="30">
        <v>75</v>
      </c>
      <c r="N15" s="31">
        <v>75</v>
      </c>
      <c r="O15" s="34">
        <f t="shared" ref="O15:O26" si="3">SUM(C15:N15)</f>
        <v>1275</v>
      </c>
      <c r="P15" s="68"/>
      <c r="Q15" s="69"/>
    </row>
    <row r="16" spans="1:24" x14ac:dyDescent="0.25">
      <c r="A16" s="2" t="s">
        <v>27</v>
      </c>
      <c r="B16" s="30" t="s">
        <v>28</v>
      </c>
      <c r="C16" s="30">
        <v>108</v>
      </c>
      <c r="D16" s="30">
        <v>109</v>
      </c>
      <c r="E16" s="30">
        <v>108</v>
      </c>
      <c r="F16" s="30">
        <v>108</v>
      </c>
      <c r="G16" s="30">
        <v>109</v>
      </c>
      <c r="H16" s="30">
        <v>108</v>
      </c>
      <c r="I16" s="30">
        <v>108</v>
      </c>
      <c r="J16" s="30">
        <v>109</v>
      </c>
      <c r="K16" s="30">
        <v>108</v>
      </c>
      <c r="L16" s="30">
        <v>108</v>
      </c>
      <c r="M16" s="30">
        <v>109</v>
      </c>
      <c r="N16" s="31">
        <v>108</v>
      </c>
      <c r="O16" s="34">
        <f t="shared" si="3"/>
        <v>1300</v>
      </c>
      <c r="P16" s="68"/>
      <c r="Q16" s="69"/>
    </row>
    <row r="17" spans="1:17" x14ac:dyDescent="0.25">
      <c r="A17" s="2" t="s">
        <v>29</v>
      </c>
      <c r="B17" s="30" t="s">
        <v>30</v>
      </c>
      <c r="C17" s="30">
        <v>50</v>
      </c>
      <c r="D17" s="30">
        <v>50</v>
      </c>
      <c r="E17" s="30">
        <v>50</v>
      </c>
      <c r="F17" s="30">
        <v>50</v>
      </c>
      <c r="G17" s="30">
        <v>50</v>
      </c>
      <c r="H17" s="30">
        <v>50</v>
      </c>
      <c r="I17" s="30">
        <v>50</v>
      </c>
      <c r="J17" s="30">
        <v>50</v>
      </c>
      <c r="K17" s="30">
        <v>50</v>
      </c>
      <c r="L17" s="30">
        <v>50</v>
      </c>
      <c r="M17" s="30">
        <v>50</v>
      </c>
      <c r="N17" s="31">
        <v>50</v>
      </c>
      <c r="O17" s="34">
        <f t="shared" si="3"/>
        <v>600</v>
      </c>
      <c r="P17" s="68"/>
      <c r="Q17" s="69"/>
    </row>
    <row r="18" spans="1:17" x14ac:dyDescent="0.25">
      <c r="A18" s="2" t="s">
        <v>31</v>
      </c>
      <c r="B18" s="30" t="s">
        <v>32</v>
      </c>
      <c r="C18" s="30">
        <v>103</v>
      </c>
      <c r="D18" s="30">
        <v>0</v>
      </c>
      <c r="E18" s="30">
        <v>0</v>
      </c>
      <c r="F18" s="30">
        <v>102</v>
      </c>
      <c r="G18" s="30">
        <v>0</v>
      </c>
      <c r="H18" s="30">
        <v>0</v>
      </c>
      <c r="I18" s="30">
        <v>103</v>
      </c>
      <c r="J18" s="30">
        <v>0</v>
      </c>
      <c r="K18" s="30">
        <v>0</v>
      </c>
      <c r="L18" s="30">
        <v>102</v>
      </c>
      <c r="M18" s="30">
        <v>0</v>
      </c>
      <c r="N18" s="31">
        <v>0</v>
      </c>
      <c r="O18" s="34">
        <f t="shared" si="3"/>
        <v>410</v>
      </c>
      <c r="P18" s="68"/>
      <c r="Q18" s="69"/>
    </row>
    <row r="19" spans="1:17" x14ac:dyDescent="0.25">
      <c r="A19" s="2" t="s">
        <v>33</v>
      </c>
      <c r="B19" s="30" t="s">
        <v>34</v>
      </c>
      <c r="C19" s="30">
        <v>0</v>
      </c>
      <c r="D19" s="30">
        <v>0</v>
      </c>
      <c r="E19" s="30">
        <v>0</v>
      </c>
      <c r="F19" s="30">
        <v>0</v>
      </c>
      <c r="G19" s="30">
        <v>1500</v>
      </c>
      <c r="H19" s="30">
        <v>1500</v>
      </c>
      <c r="I19" s="30">
        <v>1500</v>
      </c>
      <c r="J19" s="30">
        <v>0</v>
      </c>
      <c r="K19" s="30">
        <v>0</v>
      </c>
      <c r="L19" s="30">
        <v>1500</v>
      </c>
      <c r="M19" s="30">
        <v>0</v>
      </c>
      <c r="N19" s="31">
        <v>1500</v>
      </c>
      <c r="O19" s="34">
        <f t="shared" si="3"/>
        <v>7500</v>
      </c>
      <c r="P19" s="68"/>
      <c r="Q19" s="69"/>
    </row>
    <row r="20" spans="1:17" x14ac:dyDescent="0.25">
      <c r="A20" s="2" t="s">
        <v>35</v>
      </c>
      <c r="B20" s="30" t="s">
        <v>36</v>
      </c>
      <c r="C20" s="30">
        <v>0</v>
      </c>
      <c r="D20" s="30">
        <v>0</v>
      </c>
      <c r="E20" s="30">
        <v>0</v>
      </c>
      <c r="F20" s="30">
        <v>0</v>
      </c>
      <c r="G20" s="30">
        <v>40</v>
      </c>
      <c r="H20" s="30">
        <v>0</v>
      </c>
      <c r="I20" s="30">
        <v>0</v>
      </c>
      <c r="J20" s="30">
        <v>0</v>
      </c>
      <c r="K20" s="30">
        <v>40</v>
      </c>
      <c r="L20" s="30">
        <v>0</v>
      </c>
      <c r="M20" s="30">
        <v>0</v>
      </c>
      <c r="N20" s="31">
        <v>40</v>
      </c>
      <c r="O20" s="34">
        <f t="shared" si="3"/>
        <v>120</v>
      </c>
      <c r="P20" s="68"/>
      <c r="Q20" s="69"/>
    </row>
    <row r="21" spans="1:17" x14ac:dyDescent="0.25">
      <c r="A21" s="2" t="s">
        <v>37</v>
      </c>
      <c r="B21" s="30" t="s">
        <v>38</v>
      </c>
      <c r="C21" s="30">
        <v>1750</v>
      </c>
      <c r="D21" s="30">
        <v>1750</v>
      </c>
      <c r="E21" s="30">
        <v>1750</v>
      </c>
      <c r="F21" s="30">
        <v>1750</v>
      </c>
      <c r="G21" s="30">
        <v>1750</v>
      </c>
      <c r="H21" s="30">
        <v>1750</v>
      </c>
      <c r="I21" s="30">
        <v>1750</v>
      </c>
      <c r="J21" s="30">
        <v>1750</v>
      </c>
      <c r="K21" s="30">
        <v>2250</v>
      </c>
      <c r="L21" s="30">
        <v>2250</v>
      </c>
      <c r="M21" s="30">
        <v>2250</v>
      </c>
      <c r="N21" s="31">
        <v>2250</v>
      </c>
      <c r="O21" s="34">
        <f t="shared" si="3"/>
        <v>23000</v>
      </c>
      <c r="P21" s="68"/>
      <c r="Q21" s="69"/>
    </row>
    <row r="22" spans="1:17" x14ac:dyDescent="0.25">
      <c r="A22" s="2" t="s">
        <v>39</v>
      </c>
      <c r="B22" s="30" t="s">
        <v>40</v>
      </c>
      <c r="C22" s="30">
        <v>240</v>
      </c>
      <c r="D22" s="30">
        <v>240</v>
      </c>
      <c r="E22" s="30">
        <v>240</v>
      </c>
      <c r="F22" s="30">
        <v>240</v>
      </c>
      <c r="G22" s="30">
        <v>240</v>
      </c>
      <c r="H22" s="30">
        <v>240</v>
      </c>
      <c r="I22" s="30">
        <v>240</v>
      </c>
      <c r="J22" s="30">
        <v>240</v>
      </c>
      <c r="K22" s="30">
        <v>240</v>
      </c>
      <c r="L22" s="30">
        <v>240</v>
      </c>
      <c r="M22" s="30">
        <v>240</v>
      </c>
      <c r="N22" s="31">
        <v>240</v>
      </c>
      <c r="O22" s="34">
        <f t="shared" si="3"/>
        <v>2880</v>
      </c>
      <c r="P22" s="68"/>
      <c r="Q22" s="69"/>
    </row>
    <row r="23" spans="1:17" x14ac:dyDescent="0.25">
      <c r="A23" s="2" t="s">
        <v>41</v>
      </c>
      <c r="B23" s="30" t="s">
        <v>42</v>
      </c>
      <c r="C23" s="30">
        <v>100</v>
      </c>
      <c r="D23" s="30">
        <v>100</v>
      </c>
      <c r="E23" s="30">
        <v>100</v>
      </c>
      <c r="F23" s="30">
        <v>100</v>
      </c>
      <c r="G23" s="30">
        <v>100</v>
      </c>
      <c r="H23" s="30">
        <v>100</v>
      </c>
      <c r="I23" s="30">
        <v>100</v>
      </c>
      <c r="J23" s="30">
        <v>100</v>
      </c>
      <c r="K23" s="30">
        <v>100</v>
      </c>
      <c r="L23" s="30">
        <v>100</v>
      </c>
      <c r="M23" s="30">
        <v>100</v>
      </c>
      <c r="N23" s="31">
        <v>100</v>
      </c>
      <c r="O23" s="34">
        <f t="shared" si="3"/>
        <v>1200</v>
      </c>
      <c r="P23" s="68"/>
      <c r="Q23" s="69"/>
    </row>
    <row r="24" spans="1:17" x14ac:dyDescent="0.25">
      <c r="A24" s="2" t="s">
        <v>43</v>
      </c>
      <c r="B24" s="30" t="s">
        <v>44</v>
      </c>
      <c r="C24" s="30">
        <v>0</v>
      </c>
      <c r="D24" s="30">
        <v>250</v>
      </c>
      <c r="E24" s="30">
        <v>0</v>
      </c>
      <c r="F24" s="30">
        <v>0</v>
      </c>
      <c r="G24" s="30">
        <v>250</v>
      </c>
      <c r="H24" s="30">
        <v>0</v>
      </c>
      <c r="I24" s="30">
        <v>0</v>
      </c>
      <c r="J24" s="30">
        <v>250</v>
      </c>
      <c r="K24" s="30">
        <v>0</v>
      </c>
      <c r="L24" s="30">
        <v>0</v>
      </c>
      <c r="M24" s="30">
        <v>250</v>
      </c>
      <c r="N24" s="31">
        <v>0</v>
      </c>
      <c r="O24" s="34">
        <f t="shared" si="3"/>
        <v>1000</v>
      </c>
      <c r="P24" s="68"/>
      <c r="Q24" s="69"/>
    </row>
    <row r="25" spans="1:17" ht="14.25" thickBot="1" x14ac:dyDescent="0.3">
      <c r="A25" s="2" t="s">
        <v>45</v>
      </c>
      <c r="B25" s="30" t="s">
        <v>46</v>
      </c>
      <c r="C25" s="30">
        <v>393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392</v>
      </c>
      <c r="J25" s="30">
        <v>0</v>
      </c>
      <c r="K25" s="30">
        <v>0</v>
      </c>
      <c r="L25" s="30">
        <v>0</v>
      </c>
      <c r="M25" s="30">
        <v>0</v>
      </c>
      <c r="N25" s="31">
        <v>0</v>
      </c>
      <c r="O25" s="34">
        <f t="shared" si="3"/>
        <v>785</v>
      </c>
      <c r="P25" s="70"/>
      <c r="Q25" s="71"/>
    </row>
    <row r="26" spans="1:17" x14ac:dyDescent="0.25">
      <c r="A26" s="2" t="s">
        <v>47</v>
      </c>
      <c r="B26" s="30" t="s">
        <v>48</v>
      </c>
      <c r="C26" s="30">
        <v>500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500</v>
      </c>
      <c r="J26" s="30">
        <v>0</v>
      </c>
      <c r="K26" s="30">
        <v>0</v>
      </c>
      <c r="L26" s="30">
        <v>0</v>
      </c>
      <c r="M26" s="30">
        <v>0</v>
      </c>
      <c r="N26" s="31">
        <v>0</v>
      </c>
      <c r="O26" s="34">
        <f t="shared" si="3"/>
        <v>1000</v>
      </c>
      <c r="P26" s="72" t="s">
        <v>170</v>
      </c>
      <c r="Q26" s="73" t="s">
        <v>167</v>
      </c>
    </row>
    <row r="27" spans="1:17" x14ac:dyDescent="0.25">
      <c r="A27" s="10"/>
      <c r="B27" s="11" t="s">
        <v>155</v>
      </c>
      <c r="C27" s="11">
        <f t="shared" ref="C27:O27" si="4">SUM(C15:C26)</f>
        <v>3319</v>
      </c>
      <c r="D27" s="11">
        <f t="shared" si="4"/>
        <v>2934</v>
      </c>
      <c r="E27" s="11">
        <f t="shared" si="4"/>
        <v>2323</v>
      </c>
      <c r="F27" s="11">
        <f t="shared" si="4"/>
        <v>2425</v>
      </c>
      <c r="G27" s="11">
        <f t="shared" si="4"/>
        <v>4114</v>
      </c>
      <c r="H27" s="11">
        <f t="shared" si="4"/>
        <v>3838</v>
      </c>
      <c r="I27" s="11">
        <f t="shared" si="4"/>
        <v>4818</v>
      </c>
      <c r="J27" s="11">
        <f t="shared" si="4"/>
        <v>2574</v>
      </c>
      <c r="K27" s="11">
        <f t="shared" si="4"/>
        <v>2863</v>
      </c>
      <c r="L27" s="11">
        <f t="shared" si="4"/>
        <v>4425</v>
      </c>
      <c r="M27" s="11">
        <f t="shared" si="4"/>
        <v>3074</v>
      </c>
      <c r="N27" s="11">
        <f t="shared" si="4"/>
        <v>4363</v>
      </c>
      <c r="O27" s="12">
        <f t="shared" si="4"/>
        <v>41070</v>
      </c>
      <c r="P27" s="74">
        <f>O27/336</f>
        <v>122.23214285714286</v>
      </c>
      <c r="Q27" s="75">
        <f>P27/4</f>
        <v>30.558035714285715</v>
      </c>
    </row>
    <row r="28" spans="1:17" x14ac:dyDescent="0.25">
      <c r="A28" s="2" t="s">
        <v>49</v>
      </c>
      <c r="B28" s="30" t="s">
        <v>50</v>
      </c>
      <c r="C28" s="30">
        <v>0</v>
      </c>
      <c r="D28" s="30">
        <v>3950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1">
        <v>0</v>
      </c>
      <c r="O28" s="34">
        <f t="shared" ref="O28:O29" si="5">SUM(C28:N28)</f>
        <v>3950</v>
      </c>
      <c r="P28" s="68"/>
      <c r="Q28" s="69"/>
    </row>
    <row r="29" spans="1:17" x14ac:dyDescent="0.25">
      <c r="A29" s="2" t="s">
        <v>51</v>
      </c>
      <c r="B29" s="30" t="s">
        <v>52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2700</v>
      </c>
      <c r="N29" s="31">
        <v>0</v>
      </c>
      <c r="O29" s="34">
        <f t="shared" si="5"/>
        <v>2700</v>
      </c>
      <c r="P29" s="68"/>
      <c r="Q29" s="69"/>
    </row>
    <row r="30" spans="1:17" x14ac:dyDescent="0.25">
      <c r="A30" s="10"/>
      <c r="B30" s="11" t="s">
        <v>156</v>
      </c>
      <c r="C30" s="11">
        <f>SUM(C28:C29)</f>
        <v>0</v>
      </c>
      <c r="D30" s="11">
        <f t="shared" ref="D30:N30" si="6">SUM(D28:D29)</f>
        <v>3950</v>
      </c>
      <c r="E30" s="11">
        <f t="shared" si="6"/>
        <v>0</v>
      </c>
      <c r="F30" s="11">
        <f t="shared" si="6"/>
        <v>0</v>
      </c>
      <c r="G30" s="11">
        <f t="shared" si="6"/>
        <v>0</v>
      </c>
      <c r="H30" s="11">
        <f t="shared" si="6"/>
        <v>0</v>
      </c>
      <c r="I30" s="11">
        <f t="shared" si="6"/>
        <v>0</v>
      </c>
      <c r="J30" s="11">
        <f t="shared" si="6"/>
        <v>0</v>
      </c>
      <c r="K30" s="11">
        <f t="shared" si="6"/>
        <v>0</v>
      </c>
      <c r="L30" s="11">
        <f t="shared" si="6"/>
        <v>0</v>
      </c>
      <c r="M30" s="11">
        <f t="shared" si="6"/>
        <v>2700</v>
      </c>
      <c r="N30" s="11">
        <f t="shared" si="6"/>
        <v>0</v>
      </c>
      <c r="O30" s="12">
        <f>SUM(O28:O29)</f>
        <v>6650</v>
      </c>
      <c r="P30" s="74">
        <f>O30/336</f>
        <v>19.791666666666668</v>
      </c>
      <c r="Q30" s="75">
        <f>P30/4</f>
        <v>4.947916666666667</v>
      </c>
    </row>
    <row r="31" spans="1:17" x14ac:dyDescent="0.25">
      <c r="A31" s="2" t="s">
        <v>53</v>
      </c>
      <c r="B31" s="30" t="s">
        <v>54</v>
      </c>
      <c r="C31" s="30">
        <v>150</v>
      </c>
      <c r="D31" s="30">
        <v>150</v>
      </c>
      <c r="E31" s="30">
        <v>150</v>
      </c>
      <c r="F31" s="30">
        <v>150</v>
      </c>
      <c r="G31" s="30">
        <v>150</v>
      </c>
      <c r="H31" s="30">
        <v>150</v>
      </c>
      <c r="I31" s="30">
        <v>150</v>
      </c>
      <c r="J31" s="30">
        <v>150</v>
      </c>
      <c r="K31" s="30">
        <v>150</v>
      </c>
      <c r="L31" s="30">
        <v>150</v>
      </c>
      <c r="M31" s="30">
        <v>150</v>
      </c>
      <c r="N31" s="31">
        <v>150</v>
      </c>
      <c r="O31" s="34">
        <f t="shared" ref="O31:O32" si="7">SUM(C31:N31)</f>
        <v>1800</v>
      </c>
      <c r="P31" s="68"/>
      <c r="Q31" s="69"/>
    </row>
    <row r="32" spans="1:17" x14ac:dyDescent="0.25">
      <c r="A32" s="2" t="s">
        <v>55</v>
      </c>
      <c r="B32" s="30" t="s">
        <v>56</v>
      </c>
      <c r="C32" s="30">
        <v>1999</v>
      </c>
      <c r="D32" s="30">
        <v>2002</v>
      </c>
      <c r="E32" s="30">
        <v>1999</v>
      </c>
      <c r="F32" s="30">
        <v>1999</v>
      </c>
      <c r="G32" s="30">
        <v>2002</v>
      </c>
      <c r="H32" s="30">
        <v>1999</v>
      </c>
      <c r="I32" s="30">
        <v>1999</v>
      </c>
      <c r="J32" s="30">
        <v>2002</v>
      </c>
      <c r="K32" s="30">
        <v>1999</v>
      </c>
      <c r="L32" s="30">
        <v>1999</v>
      </c>
      <c r="M32" s="30">
        <v>2002</v>
      </c>
      <c r="N32" s="31">
        <v>1999</v>
      </c>
      <c r="O32" s="34">
        <f t="shared" si="7"/>
        <v>24000</v>
      </c>
      <c r="P32" s="68"/>
      <c r="Q32" s="69"/>
    </row>
    <row r="33" spans="1:17" x14ac:dyDescent="0.25">
      <c r="A33" s="10"/>
      <c r="B33" s="11" t="s">
        <v>157</v>
      </c>
      <c r="C33" s="11">
        <f>SUM(C31:C32)</f>
        <v>2149</v>
      </c>
      <c r="D33" s="11">
        <f t="shared" ref="D33:N33" si="8">SUM(D31:D32)</f>
        <v>2152</v>
      </c>
      <c r="E33" s="11">
        <f t="shared" si="8"/>
        <v>2149</v>
      </c>
      <c r="F33" s="11">
        <f t="shared" si="8"/>
        <v>2149</v>
      </c>
      <c r="G33" s="11">
        <f t="shared" si="8"/>
        <v>2152</v>
      </c>
      <c r="H33" s="11">
        <f t="shared" si="8"/>
        <v>2149</v>
      </c>
      <c r="I33" s="11">
        <f t="shared" si="8"/>
        <v>2149</v>
      </c>
      <c r="J33" s="11">
        <f t="shared" si="8"/>
        <v>2152</v>
      </c>
      <c r="K33" s="11">
        <f t="shared" si="8"/>
        <v>2149</v>
      </c>
      <c r="L33" s="11">
        <f t="shared" si="8"/>
        <v>2149</v>
      </c>
      <c r="M33" s="11">
        <f t="shared" si="8"/>
        <v>2152</v>
      </c>
      <c r="N33" s="11">
        <f t="shared" si="8"/>
        <v>2149</v>
      </c>
      <c r="O33" s="12">
        <f>SUM(O31:O32)</f>
        <v>25800</v>
      </c>
      <c r="P33" s="74">
        <f>O33/336</f>
        <v>76.785714285714292</v>
      </c>
      <c r="Q33" s="75">
        <f>P33/4</f>
        <v>19.196428571428573</v>
      </c>
    </row>
    <row r="34" spans="1:17" x14ac:dyDescent="0.25">
      <c r="A34" s="2" t="s">
        <v>57</v>
      </c>
      <c r="B34" s="30" t="s">
        <v>58</v>
      </c>
      <c r="C34" s="30">
        <v>0</v>
      </c>
      <c r="D34" s="30">
        <v>0</v>
      </c>
      <c r="E34" s="30">
        <v>250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1">
        <v>0</v>
      </c>
      <c r="O34" s="34">
        <f t="shared" ref="O34:O44" si="9">SUM(C34:N34)</f>
        <v>250</v>
      </c>
      <c r="P34" s="68"/>
      <c r="Q34" s="69"/>
    </row>
    <row r="35" spans="1:17" x14ac:dyDescent="0.25">
      <c r="A35" s="2" t="s">
        <v>59</v>
      </c>
      <c r="B35" s="30" t="s">
        <v>60</v>
      </c>
      <c r="C35" s="30">
        <v>83.33</v>
      </c>
      <c r="D35" s="30">
        <v>83.34</v>
      </c>
      <c r="E35" s="30">
        <v>83.33</v>
      </c>
      <c r="F35" s="30">
        <v>83.33</v>
      </c>
      <c r="G35" s="30">
        <v>83.34</v>
      </c>
      <c r="H35" s="30">
        <v>83.33</v>
      </c>
      <c r="I35" s="30">
        <v>83.33</v>
      </c>
      <c r="J35" s="30">
        <v>83.34</v>
      </c>
      <c r="K35" s="30">
        <v>83.33</v>
      </c>
      <c r="L35" s="30">
        <v>83.33</v>
      </c>
      <c r="M35" s="30">
        <v>83.34</v>
      </c>
      <c r="N35" s="31">
        <v>83.33</v>
      </c>
      <c r="O35" s="34">
        <f t="shared" si="9"/>
        <v>1000.0000000000001</v>
      </c>
      <c r="P35" s="68"/>
      <c r="Q35" s="69"/>
    </row>
    <row r="36" spans="1:17" x14ac:dyDescent="0.25">
      <c r="A36" s="2" t="s">
        <v>61</v>
      </c>
      <c r="B36" s="30" t="s">
        <v>62</v>
      </c>
      <c r="C36" s="30">
        <v>75</v>
      </c>
      <c r="D36" s="30">
        <v>75</v>
      </c>
      <c r="E36" s="30">
        <v>75</v>
      </c>
      <c r="F36" s="30">
        <v>75</v>
      </c>
      <c r="G36" s="30">
        <v>75</v>
      </c>
      <c r="H36" s="30">
        <v>75</v>
      </c>
      <c r="I36" s="30">
        <v>75</v>
      </c>
      <c r="J36" s="30">
        <v>75</v>
      </c>
      <c r="K36" s="30">
        <v>75</v>
      </c>
      <c r="L36" s="30">
        <v>75</v>
      </c>
      <c r="M36" s="30">
        <v>75</v>
      </c>
      <c r="N36" s="31">
        <v>75</v>
      </c>
      <c r="O36" s="34">
        <f t="shared" si="9"/>
        <v>900</v>
      </c>
      <c r="P36" s="68"/>
      <c r="Q36" s="69"/>
    </row>
    <row r="37" spans="1:17" x14ac:dyDescent="0.25">
      <c r="A37" s="2" t="s">
        <v>63</v>
      </c>
      <c r="B37" s="30" t="s">
        <v>64</v>
      </c>
      <c r="C37" s="30">
        <v>0</v>
      </c>
      <c r="D37" s="30">
        <v>1500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1">
        <v>0</v>
      </c>
      <c r="O37" s="34">
        <f t="shared" si="9"/>
        <v>1500</v>
      </c>
      <c r="P37" s="68"/>
      <c r="Q37" s="69"/>
    </row>
    <row r="38" spans="1:17" x14ac:dyDescent="0.25">
      <c r="A38" s="2" t="s">
        <v>65</v>
      </c>
      <c r="B38" s="30" t="s">
        <v>66</v>
      </c>
      <c r="C38" s="30">
        <v>730</v>
      </c>
      <c r="D38" s="30">
        <v>730</v>
      </c>
      <c r="E38" s="30">
        <v>730</v>
      </c>
      <c r="F38" s="30">
        <v>730</v>
      </c>
      <c r="G38" s="30">
        <v>730</v>
      </c>
      <c r="H38" s="30">
        <v>730</v>
      </c>
      <c r="I38" s="30">
        <v>730</v>
      </c>
      <c r="J38" s="30">
        <v>730</v>
      </c>
      <c r="K38" s="30">
        <v>730</v>
      </c>
      <c r="L38" s="30">
        <v>730</v>
      </c>
      <c r="M38" s="30">
        <v>730</v>
      </c>
      <c r="N38" s="31">
        <v>730</v>
      </c>
      <c r="O38" s="34">
        <f t="shared" si="9"/>
        <v>8760</v>
      </c>
      <c r="P38" s="68"/>
      <c r="Q38" s="69"/>
    </row>
    <row r="39" spans="1:17" x14ac:dyDescent="0.25">
      <c r="A39" s="2" t="s">
        <v>67</v>
      </c>
      <c r="B39" s="30" t="s">
        <v>68</v>
      </c>
      <c r="C39" s="30">
        <v>1500</v>
      </c>
      <c r="D39" s="30">
        <v>0</v>
      </c>
      <c r="E39" s="30">
        <v>0</v>
      </c>
      <c r="F39" s="30">
        <v>0</v>
      </c>
      <c r="G39" s="30">
        <v>0</v>
      </c>
      <c r="H39" s="30">
        <v>1500</v>
      </c>
      <c r="I39" s="30">
        <v>0</v>
      </c>
      <c r="J39" s="30">
        <v>0</v>
      </c>
      <c r="K39" s="30">
        <v>1500</v>
      </c>
      <c r="L39" s="30">
        <v>0</v>
      </c>
      <c r="M39" s="30">
        <v>0</v>
      </c>
      <c r="N39" s="31">
        <v>1500</v>
      </c>
      <c r="O39" s="34">
        <f t="shared" si="9"/>
        <v>6000</v>
      </c>
      <c r="P39" s="68"/>
      <c r="Q39" s="69"/>
    </row>
    <row r="40" spans="1:17" x14ac:dyDescent="0.25">
      <c r="A40" s="2" t="s">
        <v>69</v>
      </c>
      <c r="B40" s="30" t="s">
        <v>70</v>
      </c>
      <c r="C40" s="30">
        <v>762</v>
      </c>
      <c r="D40" s="30">
        <v>762</v>
      </c>
      <c r="E40" s="30">
        <v>762</v>
      </c>
      <c r="F40" s="30">
        <v>762</v>
      </c>
      <c r="G40" s="30">
        <v>762</v>
      </c>
      <c r="H40" s="30">
        <v>762</v>
      </c>
      <c r="I40" s="30">
        <v>762</v>
      </c>
      <c r="J40" s="30">
        <v>762</v>
      </c>
      <c r="K40" s="30">
        <v>762</v>
      </c>
      <c r="L40" s="30">
        <v>762</v>
      </c>
      <c r="M40" s="30">
        <v>762</v>
      </c>
      <c r="N40" s="31">
        <v>762</v>
      </c>
      <c r="O40" s="34">
        <f t="shared" si="9"/>
        <v>9144</v>
      </c>
      <c r="P40" s="68"/>
      <c r="Q40" s="69"/>
    </row>
    <row r="41" spans="1:17" x14ac:dyDescent="0.25">
      <c r="A41" s="2" t="s">
        <v>71</v>
      </c>
      <c r="B41" s="30" t="s">
        <v>72</v>
      </c>
      <c r="C41" s="30">
        <v>729</v>
      </c>
      <c r="D41" s="30">
        <v>729</v>
      </c>
      <c r="E41" s="30">
        <v>729</v>
      </c>
      <c r="F41" s="30">
        <v>729</v>
      </c>
      <c r="G41" s="30">
        <v>729</v>
      </c>
      <c r="H41" s="30">
        <v>729</v>
      </c>
      <c r="I41" s="30">
        <v>729</v>
      </c>
      <c r="J41" s="30">
        <v>729</v>
      </c>
      <c r="K41" s="30">
        <v>729</v>
      </c>
      <c r="L41" s="30">
        <v>729</v>
      </c>
      <c r="M41" s="30">
        <v>729</v>
      </c>
      <c r="N41" s="31">
        <v>729</v>
      </c>
      <c r="O41" s="34">
        <f t="shared" si="9"/>
        <v>8748</v>
      </c>
      <c r="P41" s="68"/>
      <c r="Q41" s="69"/>
    </row>
    <row r="42" spans="1:17" x14ac:dyDescent="0.25">
      <c r="A42" s="2" t="s">
        <v>73</v>
      </c>
      <c r="B42" s="30" t="s">
        <v>74</v>
      </c>
      <c r="C42" s="30">
        <v>210</v>
      </c>
      <c r="D42" s="30">
        <v>210</v>
      </c>
      <c r="E42" s="30">
        <v>210</v>
      </c>
      <c r="F42" s="30">
        <v>210</v>
      </c>
      <c r="G42" s="30">
        <v>210</v>
      </c>
      <c r="H42" s="30">
        <v>210</v>
      </c>
      <c r="I42" s="30">
        <v>210</v>
      </c>
      <c r="J42" s="30">
        <v>210</v>
      </c>
      <c r="K42" s="30">
        <v>210</v>
      </c>
      <c r="L42" s="30">
        <v>210</v>
      </c>
      <c r="M42" s="30">
        <v>210</v>
      </c>
      <c r="N42" s="31">
        <v>210</v>
      </c>
      <c r="O42" s="34">
        <f t="shared" si="9"/>
        <v>2520</v>
      </c>
      <c r="P42" s="68"/>
      <c r="Q42" s="69"/>
    </row>
    <row r="43" spans="1:17" x14ac:dyDescent="0.25">
      <c r="A43" s="2" t="s">
        <v>75</v>
      </c>
      <c r="B43" s="30" t="s">
        <v>76</v>
      </c>
      <c r="C43" s="30">
        <v>0</v>
      </c>
      <c r="D43" s="30">
        <v>0</v>
      </c>
      <c r="E43" s="30">
        <v>0</v>
      </c>
      <c r="F43" s="30">
        <v>0</v>
      </c>
      <c r="G43" s="30">
        <v>500</v>
      </c>
      <c r="H43" s="30">
        <v>0</v>
      </c>
      <c r="I43" s="30">
        <v>0</v>
      </c>
      <c r="J43" s="30">
        <v>500</v>
      </c>
      <c r="K43" s="30">
        <v>0</v>
      </c>
      <c r="L43" s="30">
        <v>0</v>
      </c>
      <c r="M43" s="30">
        <v>0</v>
      </c>
      <c r="N43" s="31">
        <v>0</v>
      </c>
      <c r="O43" s="34">
        <f t="shared" si="9"/>
        <v>1000</v>
      </c>
      <c r="P43" s="68"/>
      <c r="Q43" s="69"/>
    </row>
    <row r="44" spans="1:17" x14ac:dyDescent="0.25">
      <c r="A44" s="2" t="s">
        <v>77</v>
      </c>
      <c r="B44" s="30" t="s">
        <v>78</v>
      </c>
      <c r="C44" s="30">
        <v>0</v>
      </c>
      <c r="D44" s="30">
        <v>125</v>
      </c>
      <c r="E44" s="30">
        <v>0</v>
      </c>
      <c r="F44" s="30">
        <v>0</v>
      </c>
      <c r="G44" s="30">
        <v>125</v>
      </c>
      <c r="H44" s="30">
        <v>0</v>
      </c>
      <c r="I44" s="30">
        <v>0</v>
      </c>
      <c r="J44" s="30">
        <v>125</v>
      </c>
      <c r="K44" s="30">
        <v>0</v>
      </c>
      <c r="L44" s="30">
        <v>0</v>
      </c>
      <c r="M44" s="30">
        <v>125</v>
      </c>
      <c r="N44" s="31">
        <v>0</v>
      </c>
      <c r="O44" s="34">
        <f t="shared" si="9"/>
        <v>500</v>
      </c>
      <c r="P44" s="68"/>
      <c r="Q44" s="69"/>
    </row>
    <row r="45" spans="1:17" x14ac:dyDescent="0.25">
      <c r="A45" s="10"/>
      <c r="B45" s="11" t="s">
        <v>158</v>
      </c>
      <c r="C45" s="11">
        <f>SUM(C34:C44)</f>
        <v>4089.33</v>
      </c>
      <c r="D45" s="11">
        <f t="shared" ref="D45:N45" si="10">SUM(D34:D44)</f>
        <v>4214.34</v>
      </c>
      <c r="E45" s="11">
        <f t="shared" si="10"/>
        <v>2839.33</v>
      </c>
      <c r="F45" s="11">
        <f t="shared" si="10"/>
        <v>2589.33</v>
      </c>
      <c r="G45" s="11">
        <f t="shared" si="10"/>
        <v>3214.34</v>
      </c>
      <c r="H45" s="11">
        <f t="shared" si="10"/>
        <v>4089.33</v>
      </c>
      <c r="I45" s="11">
        <f t="shared" si="10"/>
        <v>2589.33</v>
      </c>
      <c r="J45" s="11">
        <f t="shared" si="10"/>
        <v>3214.34</v>
      </c>
      <c r="K45" s="11">
        <f t="shared" si="10"/>
        <v>4089.33</v>
      </c>
      <c r="L45" s="11">
        <f t="shared" si="10"/>
        <v>2589.33</v>
      </c>
      <c r="M45" s="11">
        <f t="shared" si="10"/>
        <v>2714.34</v>
      </c>
      <c r="N45" s="11">
        <f t="shared" si="10"/>
        <v>4089.33</v>
      </c>
      <c r="O45" s="12">
        <f>SUM(O34:O44)</f>
        <v>40322</v>
      </c>
      <c r="P45" s="74">
        <f>O45/336</f>
        <v>120.00595238095238</v>
      </c>
      <c r="Q45" s="75">
        <f>P45/4</f>
        <v>30.001488095238095</v>
      </c>
    </row>
    <row r="46" spans="1:17" x14ac:dyDescent="0.25">
      <c r="A46" s="2" t="s">
        <v>79</v>
      </c>
      <c r="B46" s="30" t="s">
        <v>80</v>
      </c>
      <c r="C46" s="30">
        <v>0</v>
      </c>
      <c r="D46" s="30">
        <v>0</v>
      </c>
      <c r="E46" s="30">
        <v>0</v>
      </c>
      <c r="F46" s="30">
        <v>333</v>
      </c>
      <c r="G46" s="30">
        <v>0</v>
      </c>
      <c r="H46" s="30">
        <v>334</v>
      </c>
      <c r="I46" s="30">
        <v>0</v>
      </c>
      <c r="J46" s="30">
        <v>333</v>
      </c>
      <c r="K46" s="30">
        <v>0</v>
      </c>
      <c r="L46" s="30">
        <v>0</v>
      </c>
      <c r="M46" s="30">
        <v>0</v>
      </c>
      <c r="N46" s="31">
        <v>0</v>
      </c>
      <c r="O46" s="34">
        <f t="shared" ref="O46:O54" si="11">SUM(C46:N46)</f>
        <v>1000</v>
      </c>
      <c r="P46" s="68"/>
      <c r="Q46" s="69"/>
    </row>
    <row r="47" spans="1:17" x14ac:dyDescent="0.25">
      <c r="A47" s="2" t="s">
        <v>81</v>
      </c>
      <c r="B47" s="30" t="s">
        <v>82</v>
      </c>
      <c r="C47" s="30">
        <v>0</v>
      </c>
      <c r="D47" s="30">
        <v>0</v>
      </c>
      <c r="E47" s="30">
        <v>0</v>
      </c>
      <c r="F47" s="30">
        <v>0</v>
      </c>
      <c r="G47" s="30">
        <v>500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1">
        <v>0</v>
      </c>
      <c r="O47" s="34">
        <f t="shared" si="11"/>
        <v>500</v>
      </c>
      <c r="P47" s="68"/>
      <c r="Q47" s="69"/>
    </row>
    <row r="48" spans="1:17" x14ac:dyDescent="0.25">
      <c r="A48" s="2" t="s">
        <v>83</v>
      </c>
      <c r="B48" s="30" t="s">
        <v>84</v>
      </c>
      <c r="C48" s="30">
        <v>0</v>
      </c>
      <c r="D48" s="30">
        <v>0</v>
      </c>
      <c r="E48" s="30">
        <v>0</v>
      </c>
      <c r="F48" s="30">
        <v>600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1">
        <v>0</v>
      </c>
      <c r="O48" s="34">
        <f t="shared" si="11"/>
        <v>600</v>
      </c>
      <c r="P48" s="68"/>
      <c r="Q48" s="69"/>
    </row>
    <row r="49" spans="1:17" x14ac:dyDescent="0.25">
      <c r="A49" s="2" t="s">
        <v>85</v>
      </c>
      <c r="B49" s="30" t="s">
        <v>86</v>
      </c>
      <c r="C49" s="30">
        <v>1505</v>
      </c>
      <c r="D49" s="30">
        <v>1505</v>
      </c>
      <c r="E49" s="30">
        <v>1505</v>
      </c>
      <c r="F49" s="30">
        <v>1505</v>
      </c>
      <c r="G49" s="30">
        <v>1505</v>
      </c>
      <c r="H49" s="30">
        <v>1505</v>
      </c>
      <c r="I49" s="30">
        <v>1505</v>
      </c>
      <c r="J49" s="30">
        <v>1505</v>
      </c>
      <c r="K49" s="30">
        <v>1505</v>
      </c>
      <c r="L49" s="30">
        <v>1505</v>
      </c>
      <c r="M49" s="30">
        <v>1505</v>
      </c>
      <c r="N49" s="31">
        <v>1505</v>
      </c>
      <c r="O49" s="34">
        <f t="shared" si="11"/>
        <v>18060</v>
      </c>
      <c r="P49" s="68"/>
      <c r="Q49" s="69"/>
    </row>
    <row r="50" spans="1:17" x14ac:dyDescent="0.25">
      <c r="A50" s="2" t="s">
        <v>87</v>
      </c>
      <c r="B50" s="30" t="s">
        <v>88</v>
      </c>
      <c r="C50" s="30">
        <v>125</v>
      </c>
      <c r="D50" s="30">
        <v>0</v>
      </c>
      <c r="E50" s="30">
        <v>0</v>
      </c>
      <c r="F50" s="30">
        <v>125</v>
      </c>
      <c r="G50" s="30">
        <v>0</v>
      </c>
      <c r="H50" s="30">
        <v>0</v>
      </c>
      <c r="I50" s="30">
        <v>125</v>
      </c>
      <c r="J50" s="30">
        <v>0</v>
      </c>
      <c r="K50" s="30">
        <v>0</v>
      </c>
      <c r="L50" s="30">
        <v>125</v>
      </c>
      <c r="M50" s="30">
        <v>0</v>
      </c>
      <c r="N50" s="31">
        <v>0</v>
      </c>
      <c r="O50" s="34">
        <f t="shared" si="11"/>
        <v>500</v>
      </c>
      <c r="P50" s="68"/>
      <c r="Q50" s="69"/>
    </row>
    <row r="51" spans="1:17" x14ac:dyDescent="0.25">
      <c r="A51" s="2" t="s">
        <v>89</v>
      </c>
      <c r="B51" s="30" t="s">
        <v>90</v>
      </c>
      <c r="C51" s="30">
        <v>0</v>
      </c>
      <c r="D51" s="30">
        <v>0</v>
      </c>
      <c r="E51" s="30">
        <v>0</v>
      </c>
      <c r="F51" s="30">
        <v>0</v>
      </c>
      <c r="G51" s="30">
        <v>500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1">
        <v>0</v>
      </c>
      <c r="O51" s="34">
        <f t="shared" si="11"/>
        <v>500</v>
      </c>
      <c r="P51" s="68"/>
      <c r="Q51" s="69"/>
    </row>
    <row r="52" spans="1:17" x14ac:dyDescent="0.25">
      <c r="A52" s="2" t="s">
        <v>91</v>
      </c>
      <c r="B52" s="30" t="s">
        <v>92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250</v>
      </c>
      <c r="I52" s="30">
        <v>0</v>
      </c>
      <c r="J52" s="30">
        <v>250</v>
      </c>
      <c r="K52" s="30">
        <v>0</v>
      </c>
      <c r="L52" s="30">
        <v>0</v>
      </c>
      <c r="M52" s="30">
        <v>0</v>
      </c>
      <c r="N52" s="31">
        <v>0</v>
      </c>
      <c r="O52" s="34">
        <f t="shared" si="11"/>
        <v>500</v>
      </c>
      <c r="P52" s="68"/>
      <c r="Q52" s="69"/>
    </row>
    <row r="53" spans="1:17" x14ac:dyDescent="0.25">
      <c r="A53" s="2" t="s">
        <v>93</v>
      </c>
      <c r="B53" s="30" t="s">
        <v>94</v>
      </c>
      <c r="C53" s="30">
        <v>0</v>
      </c>
      <c r="D53" s="30">
        <v>0</v>
      </c>
      <c r="E53" s="30">
        <v>0</v>
      </c>
      <c r="F53" s="30">
        <v>0</v>
      </c>
      <c r="G53" s="30">
        <v>1312</v>
      </c>
      <c r="H53" s="30">
        <v>1312</v>
      </c>
      <c r="I53" s="30">
        <v>1312</v>
      </c>
      <c r="J53" s="30">
        <v>1312</v>
      </c>
      <c r="K53" s="30">
        <v>1312</v>
      </c>
      <c r="L53" s="30">
        <v>0</v>
      </c>
      <c r="M53" s="30">
        <v>0</v>
      </c>
      <c r="N53" s="31">
        <v>0</v>
      </c>
      <c r="O53" s="34">
        <f t="shared" si="11"/>
        <v>6560</v>
      </c>
      <c r="P53" s="68"/>
      <c r="Q53" s="69"/>
    </row>
    <row r="54" spans="1:17" x14ac:dyDescent="0.25">
      <c r="A54" s="2" t="s">
        <v>95</v>
      </c>
      <c r="B54" s="30" t="s">
        <v>96</v>
      </c>
      <c r="C54" s="30">
        <v>0</v>
      </c>
      <c r="D54" s="30">
        <v>0</v>
      </c>
      <c r="E54" s="30">
        <v>0</v>
      </c>
      <c r="F54" s="30">
        <v>0</v>
      </c>
      <c r="G54" s="30">
        <v>754</v>
      </c>
      <c r="H54" s="30">
        <v>753</v>
      </c>
      <c r="I54" s="30">
        <v>754</v>
      </c>
      <c r="J54" s="30">
        <v>753</v>
      </c>
      <c r="K54" s="30">
        <v>754</v>
      </c>
      <c r="L54" s="30">
        <v>0</v>
      </c>
      <c r="M54" s="30">
        <v>0</v>
      </c>
      <c r="N54" s="31">
        <v>0</v>
      </c>
      <c r="O54" s="34">
        <f t="shared" si="11"/>
        <v>3768</v>
      </c>
      <c r="P54" s="68"/>
      <c r="Q54" s="69"/>
    </row>
    <row r="55" spans="1:17" x14ac:dyDescent="0.25">
      <c r="A55" s="10"/>
      <c r="B55" s="11" t="s">
        <v>159</v>
      </c>
      <c r="C55" s="11">
        <f>SUM(C46:C54)</f>
        <v>1630</v>
      </c>
      <c r="D55" s="11">
        <f t="shared" ref="D55:N55" si="12">SUM(D46:D54)</f>
        <v>1505</v>
      </c>
      <c r="E55" s="11">
        <f t="shared" si="12"/>
        <v>1505</v>
      </c>
      <c r="F55" s="11">
        <f t="shared" si="12"/>
        <v>2563</v>
      </c>
      <c r="G55" s="11">
        <f t="shared" si="12"/>
        <v>4571</v>
      </c>
      <c r="H55" s="11">
        <f t="shared" si="12"/>
        <v>4154</v>
      </c>
      <c r="I55" s="11">
        <f t="shared" si="12"/>
        <v>3696</v>
      </c>
      <c r="J55" s="11">
        <f t="shared" si="12"/>
        <v>4153</v>
      </c>
      <c r="K55" s="11">
        <f t="shared" si="12"/>
        <v>3571</v>
      </c>
      <c r="L55" s="11">
        <f t="shared" si="12"/>
        <v>1630</v>
      </c>
      <c r="M55" s="11">
        <f t="shared" si="12"/>
        <v>1505</v>
      </c>
      <c r="N55" s="11">
        <f t="shared" si="12"/>
        <v>1505</v>
      </c>
      <c r="O55" s="12">
        <f>SUM(O46:O54)</f>
        <v>31988</v>
      </c>
      <c r="P55" s="74">
        <f>O55/336</f>
        <v>95.202380952380949</v>
      </c>
      <c r="Q55" s="75">
        <f>P55/4</f>
        <v>23.800595238095237</v>
      </c>
    </row>
    <row r="56" spans="1:17" x14ac:dyDescent="0.25">
      <c r="A56" s="2" t="s">
        <v>97</v>
      </c>
      <c r="B56" s="30" t="s">
        <v>98</v>
      </c>
      <c r="C56" s="30">
        <v>12978</v>
      </c>
      <c r="D56" s="30">
        <v>12978</v>
      </c>
      <c r="E56" s="30">
        <v>7200</v>
      </c>
      <c r="F56" s="30">
        <v>7200</v>
      </c>
      <c r="G56" s="30">
        <v>7200</v>
      </c>
      <c r="H56" s="30">
        <v>7200</v>
      </c>
      <c r="I56" s="30">
        <v>7200</v>
      </c>
      <c r="J56" s="30">
        <v>7200</v>
      </c>
      <c r="K56" s="30">
        <v>7200</v>
      </c>
      <c r="L56" s="30">
        <v>7200</v>
      </c>
      <c r="M56" s="30">
        <v>7200</v>
      </c>
      <c r="N56" s="31">
        <v>7200</v>
      </c>
      <c r="O56" s="34">
        <f t="shared" ref="O56:O59" si="13">SUM(C56:N56)</f>
        <v>97956</v>
      </c>
      <c r="P56" s="74">
        <f>O56/336</f>
        <v>291.53571428571428</v>
      </c>
      <c r="Q56" s="75">
        <f t="shared" ref="Q56:Q59" si="14">P56/4</f>
        <v>72.883928571428569</v>
      </c>
    </row>
    <row r="57" spans="1:17" x14ac:dyDescent="0.25">
      <c r="A57" s="2" t="s">
        <v>99</v>
      </c>
      <c r="B57" s="22" t="s">
        <v>100</v>
      </c>
      <c r="C57" s="22">
        <v>4490</v>
      </c>
      <c r="D57" s="22">
        <v>4490</v>
      </c>
      <c r="E57" s="22">
        <v>3545</v>
      </c>
      <c r="F57" s="22">
        <v>3545</v>
      </c>
      <c r="G57" s="22">
        <v>3545</v>
      </c>
      <c r="H57" s="22">
        <v>3545</v>
      </c>
      <c r="I57" s="22">
        <v>3545</v>
      </c>
      <c r="J57" s="22">
        <v>3545</v>
      </c>
      <c r="K57" s="22">
        <v>3545</v>
      </c>
      <c r="L57" s="22">
        <v>3545</v>
      </c>
      <c r="M57" s="22">
        <v>3545</v>
      </c>
      <c r="N57" s="23">
        <v>3545</v>
      </c>
      <c r="O57" s="34">
        <f t="shared" si="13"/>
        <v>44430</v>
      </c>
      <c r="P57" s="76">
        <f>O57/81</f>
        <v>548.51851851851848</v>
      </c>
      <c r="Q57" s="77">
        <f t="shared" si="14"/>
        <v>137.12962962962962</v>
      </c>
    </row>
    <row r="58" spans="1:17" x14ac:dyDescent="0.25">
      <c r="A58" s="2" t="s">
        <v>101</v>
      </c>
      <c r="B58" s="28" t="s">
        <v>102</v>
      </c>
      <c r="C58" s="28">
        <v>0</v>
      </c>
      <c r="D58" s="28">
        <v>0</v>
      </c>
      <c r="E58" s="28">
        <v>0</v>
      </c>
      <c r="F58" s="28">
        <v>0</v>
      </c>
      <c r="G58" s="28">
        <v>3750</v>
      </c>
      <c r="H58" s="28">
        <v>0</v>
      </c>
      <c r="I58" s="28">
        <v>0</v>
      </c>
      <c r="J58" s="28">
        <v>0</v>
      </c>
      <c r="K58" s="28">
        <v>3750</v>
      </c>
      <c r="L58" s="28">
        <v>0</v>
      </c>
      <c r="M58" s="28">
        <v>0</v>
      </c>
      <c r="N58" s="29">
        <v>0</v>
      </c>
      <c r="O58" s="34">
        <f t="shared" si="13"/>
        <v>7500</v>
      </c>
      <c r="P58" s="74">
        <f>O58/336</f>
        <v>22.321428571428573</v>
      </c>
      <c r="Q58" s="75">
        <f t="shared" si="14"/>
        <v>5.5803571428571432</v>
      </c>
    </row>
    <row r="59" spans="1:17" x14ac:dyDescent="0.25">
      <c r="A59" s="2" t="s">
        <v>103</v>
      </c>
      <c r="B59" s="24" t="s">
        <v>104</v>
      </c>
      <c r="C59" s="24">
        <v>1887</v>
      </c>
      <c r="D59" s="24">
        <v>1887</v>
      </c>
      <c r="E59" s="24">
        <v>2066.25</v>
      </c>
      <c r="F59" s="24">
        <v>2066.25</v>
      </c>
      <c r="G59" s="24">
        <v>2066.25</v>
      </c>
      <c r="H59" s="24">
        <v>2066.25</v>
      </c>
      <c r="I59" s="24">
        <v>2066.25</v>
      </c>
      <c r="J59" s="24">
        <v>2066.25</v>
      </c>
      <c r="K59" s="24">
        <v>2066.25</v>
      </c>
      <c r="L59" s="24">
        <v>2066.25</v>
      </c>
      <c r="M59" s="24">
        <v>2066.25</v>
      </c>
      <c r="N59" s="25">
        <v>2066.25</v>
      </c>
      <c r="O59" s="34">
        <f t="shared" si="13"/>
        <v>24436.5</v>
      </c>
      <c r="P59" s="78">
        <f>O59/57</f>
        <v>428.71052631578948</v>
      </c>
      <c r="Q59" s="79">
        <f t="shared" si="14"/>
        <v>107.17763157894737</v>
      </c>
    </row>
    <row r="60" spans="1:17" x14ac:dyDescent="0.25">
      <c r="A60" s="10"/>
      <c r="B60" s="11" t="s">
        <v>160</v>
      </c>
      <c r="C60" s="11">
        <f>SUM(C56:C59)</f>
        <v>19355</v>
      </c>
      <c r="D60" s="11">
        <f t="shared" ref="D60:O60" si="15">SUM(D56:D59)</f>
        <v>19355</v>
      </c>
      <c r="E60" s="11">
        <f t="shared" si="15"/>
        <v>12811.25</v>
      </c>
      <c r="F60" s="11">
        <f t="shared" si="15"/>
        <v>12811.25</v>
      </c>
      <c r="G60" s="11">
        <f t="shared" si="15"/>
        <v>16561.25</v>
      </c>
      <c r="H60" s="11">
        <f t="shared" si="15"/>
        <v>12811.25</v>
      </c>
      <c r="I60" s="11">
        <f t="shared" si="15"/>
        <v>12811.25</v>
      </c>
      <c r="J60" s="11">
        <f t="shared" si="15"/>
        <v>12811.25</v>
      </c>
      <c r="K60" s="11">
        <f t="shared" si="15"/>
        <v>16561.25</v>
      </c>
      <c r="L60" s="11">
        <f t="shared" si="15"/>
        <v>12811.25</v>
      </c>
      <c r="M60" s="11">
        <f t="shared" si="15"/>
        <v>12811.25</v>
      </c>
      <c r="N60" s="11">
        <f t="shared" si="15"/>
        <v>12811.25</v>
      </c>
      <c r="O60" s="12">
        <f t="shared" si="15"/>
        <v>174322.5</v>
      </c>
      <c r="P60" s="68"/>
      <c r="Q60" s="69"/>
    </row>
    <row r="61" spans="1:17" x14ac:dyDescent="0.25">
      <c r="A61" s="2" t="s">
        <v>105</v>
      </c>
      <c r="B61" s="28" t="s">
        <v>106</v>
      </c>
      <c r="C61" s="28">
        <v>625</v>
      </c>
      <c r="D61" s="28">
        <v>625</v>
      </c>
      <c r="E61" s="28">
        <v>625</v>
      </c>
      <c r="F61" s="28">
        <v>625</v>
      </c>
      <c r="G61" s="28">
        <v>625</v>
      </c>
      <c r="H61" s="28">
        <v>625</v>
      </c>
      <c r="I61" s="28">
        <v>625</v>
      </c>
      <c r="J61" s="28">
        <v>625</v>
      </c>
      <c r="K61" s="28">
        <v>625</v>
      </c>
      <c r="L61" s="28">
        <v>625</v>
      </c>
      <c r="M61" s="28">
        <v>625</v>
      </c>
      <c r="N61" s="29">
        <v>625</v>
      </c>
      <c r="O61" s="34">
        <f>SUM(C61:N61)</f>
        <v>7500</v>
      </c>
      <c r="P61" s="68"/>
      <c r="Q61" s="69"/>
    </row>
    <row r="62" spans="1:17" x14ac:dyDescent="0.25">
      <c r="A62" s="10"/>
      <c r="B62" s="11" t="s">
        <v>161</v>
      </c>
      <c r="C62" s="11">
        <f>SUM(C61)</f>
        <v>625</v>
      </c>
      <c r="D62" s="11">
        <f t="shared" ref="D62:N62" si="16">SUM(D61)</f>
        <v>625</v>
      </c>
      <c r="E62" s="11">
        <f t="shared" si="16"/>
        <v>625</v>
      </c>
      <c r="F62" s="11">
        <f t="shared" si="16"/>
        <v>625</v>
      </c>
      <c r="G62" s="11">
        <f t="shared" si="16"/>
        <v>625</v>
      </c>
      <c r="H62" s="11">
        <f t="shared" si="16"/>
        <v>625</v>
      </c>
      <c r="I62" s="11">
        <f t="shared" si="16"/>
        <v>625</v>
      </c>
      <c r="J62" s="11">
        <f t="shared" si="16"/>
        <v>625</v>
      </c>
      <c r="K62" s="11">
        <f t="shared" si="16"/>
        <v>625</v>
      </c>
      <c r="L62" s="11">
        <f t="shared" si="16"/>
        <v>625</v>
      </c>
      <c r="M62" s="11">
        <f t="shared" si="16"/>
        <v>625</v>
      </c>
      <c r="N62" s="11">
        <f t="shared" si="16"/>
        <v>625</v>
      </c>
      <c r="O62" s="12">
        <f>SUM(O61)</f>
        <v>7500</v>
      </c>
      <c r="P62" s="74">
        <f>O62/336</f>
        <v>22.321428571428573</v>
      </c>
      <c r="Q62" s="75">
        <f>P62/4</f>
        <v>5.5803571428571432</v>
      </c>
    </row>
    <row r="63" spans="1:17" x14ac:dyDescent="0.25">
      <c r="A63" s="2" t="s">
        <v>107</v>
      </c>
      <c r="B63" s="30" t="s">
        <v>108</v>
      </c>
      <c r="C63" s="30">
        <v>150</v>
      </c>
      <c r="D63" s="30">
        <v>150</v>
      </c>
      <c r="E63" s="30">
        <v>150</v>
      </c>
      <c r="F63" s="30">
        <v>150</v>
      </c>
      <c r="G63" s="30">
        <v>150</v>
      </c>
      <c r="H63" s="30">
        <v>150</v>
      </c>
      <c r="I63" s="30">
        <v>150</v>
      </c>
      <c r="J63" s="30">
        <v>150</v>
      </c>
      <c r="K63" s="30">
        <v>150</v>
      </c>
      <c r="L63" s="30">
        <v>150</v>
      </c>
      <c r="M63" s="30">
        <v>150</v>
      </c>
      <c r="N63" s="31">
        <v>150</v>
      </c>
      <c r="O63" s="34">
        <f t="shared" ref="O63:O70" si="17">SUM(C63:N63)</f>
        <v>1800</v>
      </c>
      <c r="P63" s="68"/>
      <c r="Q63" s="69"/>
    </row>
    <row r="64" spans="1:17" x14ac:dyDescent="0.25">
      <c r="A64" s="2" t="s">
        <v>109</v>
      </c>
      <c r="B64" s="30" t="s">
        <v>110</v>
      </c>
      <c r="C64" s="30">
        <v>292</v>
      </c>
      <c r="D64" s="30">
        <v>291</v>
      </c>
      <c r="E64" s="30">
        <v>292</v>
      </c>
      <c r="F64" s="30">
        <v>292</v>
      </c>
      <c r="G64" s="30">
        <v>291</v>
      </c>
      <c r="H64" s="30">
        <v>292</v>
      </c>
      <c r="I64" s="30">
        <v>292</v>
      </c>
      <c r="J64" s="30">
        <v>291</v>
      </c>
      <c r="K64" s="30">
        <v>292</v>
      </c>
      <c r="L64" s="30">
        <v>292</v>
      </c>
      <c r="M64" s="30">
        <v>291</v>
      </c>
      <c r="N64" s="31">
        <v>292</v>
      </c>
      <c r="O64" s="34">
        <f t="shared" si="17"/>
        <v>3500</v>
      </c>
      <c r="P64" s="68"/>
      <c r="Q64" s="69"/>
    </row>
    <row r="65" spans="1:17" x14ac:dyDescent="0.25">
      <c r="A65" s="2" t="s">
        <v>111</v>
      </c>
      <c r="B65" s="30" t="s">
        <v>112</v>
      </c>
      <c r="C65" s="30">
        <v>3552.43</v>
      </c>
      <c r="D65" s="30">
        <v>3552.43</v>
      </c>
      <c r="E65" s="30">
        <v>3552.43</v>
      </c>
      <c r="F65" s="30">
        <v>3552.43</v>
      </c>
      <c r="G65" s="30">
        <v>3552.43</v>
      </c>
      <c r="H65" s="30">
        <v>3552.43</v>
      </c>
      <c r="I65" s="30">
        <v>3552.43</v>
      </c>
      <c r="J65" s="30">
        <v>3552.43</v>
      </c>
      <c r="K65" s="30">
        <v>3552.43</v>
      </c>
      <c r="L65" s="30">
        <v>3552.43</v>
      </c>
      <c r="M65" s="30">
        <v>3552.43</v>
      </c>
      <c r="N65" s="31">
        <v>3552.43</v>
      </c>
      <c r="O65" s="34">
        <f t="shared" si="17"/>
        <v>42629.159999999996</v>
      </c>
      <c r="P65" s="68"/>
      <c r="Q65" s="69"/>
    </row>
    <row r="66" spans="1:17" x14ac:dyDescent="0.25">
      <c r="A66" s="2" t="s">
        <v>113</v>
      </c>
      <c r="B66" s="30" t="s">
        <v>114</v>
      </c>
      <c r="C66" s="30">
        <v>0</v>
      </c>
      <c r="D66" s="30">
        <v>200</v>
      </c>
      <c r="E66" s="30">
        <v>0</v>
      </c>
      <c r="F66" s="30">
        <v>200</v>
      </c>
      <c r="G66" s="30">
        <v>0</v>
      </c>
      <c r="H66" s="30">
        <v>200</v>
      </c>
      <c r="I66" s="30">
        <v>0</v>
      </c>
      <c r="J66" s="30">
        <v>200</v>
      </c>
      <c r="K66" s="30">
        <v>0</v>
      </c>
      <c r="L66" s="30">
        <v>200</v>
      </c>
      <c r="M66" s="30">
        <v>0</v>
      </c>
      <c r="N66" s="31">
        <v>0</v>
      </c>
      <c r="O66" s="34">
        <f t="shared" si="17"/>
        <v>1000</v>
      </c>
      <c r="P66" s="68"/>
      <c r="Q66" s="69"/>
    </row>
    <row r="67" spans="1:17" x14ac:dyDescent="0.25">
      <c r="A67" s="2" t="s">
        <v>115</v>
      </c>
      <c r="B67" s="30" t="s">
        <v>116</v>
      </c>
      <c r="C67" s="30">
        <v>0</v>
      </c>
      <c r="D67" s="30">
        <v>0</v>
      </c>
      <c r="E67" s="30">
        <v>0</v>
      </c>
      <c r="F67" s="30">
        <v>100</v>
      </c>
      <c r="G67" s="30">
        <v>100</v>
      </c>
      <c r="H67" s="30">
        <v>100</v>
      </c>
      <c r="I67" s="30">
        <v>100</v>
      </c>
      <c r="J67" s="30">
        <v>100</v>
      </c>
      <c r="K67" s="30">
        <v>0</v>
      </c>
      <c r="L67" s="30">
        <v>0</v>
      </c>
      <c r="M67" s="30">
        <v>0</v>
      </c>
      <c r="N67" s="31">
        <v>0</v>
      </c>
      <c r="O67" s="34">
        <f t="shared" si="17"/>
        <v>500</v>
      </c>
      <c r="P67" s="68"/>
      <c r="Q67" s="69"/>
    </row>
    <row r="68" spans="1:17" x14ac:dyDescent="0.25">
      <c r="A68" s="2" t="s">
        <v>117</v>
      </c>
      <c r="B68" s="30" t="s">
        <v>118</v>
      </c>
      <c r="C68" s="30">
        <v>210</v>
      </c>
      <c r="D68" s="30">
        <v>210</v>
      </c>
      <c r="E68" s="30">
        <v>210</v>
      </c>
      <c r="F68" s="30">
        <v>210</v>
      </c>
      <c r="G68" s="30">
        <v>210</v>
      </c>
      <c r="H68" s="30">
        <v>210</v>
      </c>
      <c r="I68" s="30">
        <v>210</v>
      </c>
      <c r="J68" s="30">
        <v>210</v>
      </c>
      <c r="K68" s="30">
        <v>210</v>
      </c>
      <c r="L68" s="30">
        <v>210</v>
      </c>
      <c r="M68" s="30">
        <v>210</v>
      </c>
      <c r="N68" s="31">
        <v>210</v>
      </c>
      <c r="O68" s="34">
        <f t="shared" si="17"/>
        <v>2520</v>
      </c>
      <c r="P68" s="68"/>
      <c r="Q68" s="69"/>
    </row>
    <row r="69" spans="1:17" x14ac:dyDescent="0.25">
      <c r="A69" s="2" t="s">
        <v>119</v>
      </c>
      <c r="B69" s="30" t="s">
        <v>120</v>
      </c>
      <c r="C69" s="30">
        <v>0</v>
      </c>
      <c r="D69" s="30">
        <v>0</v>
      </c>
      <c r="E69" s="30">
        <v>0</v>
      </c>
      <c r="F69" s="30">
        <v>0</v>
      </c>
      <c r="G69" s="30">
        <v>250</v>
      </c>
      <c r="H69" s="30">
        <v>0</v>
      </c>
      <c r="I69" s="30">
        <v>250</v>
      </c>
      <c r="J69" s="30">
        <v>0</v>
      </c>
      <c r="K69" s="30">
        <v>0</v>
      </c>
      <c r="L69" s="30">
        <v>0</v>
      </c>
      <c r="M69" s="30">
        <v>0</v>
      </c>
      <c r="N69" s="31">
        <v>0</v>
      </c>
      <c r="O69" s="34">
        <f t="shared" si="17"/>
        <v>500</v>
      </c>
      <c r="P69" s="68"/>
      <c r="Q69" s="69"/>
    </row>
    <row r="70" spans="1:17" x14ac:dyDescent="0.25">
      <c r="A70" s="2" t="s">
        <v>121</v>
      </c>
      <c r="B70" s="30" t="s">
        <v>122</v>
      </c>
      <c r="C70" s="30">
        <v>0</v>
      </c>
      <c r="D70" s="30">
        <v>0</v>
      </c>
      <c r="E70" s="30">
        <v>500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1">
        <v>0</v>
      </c>
      <c r="O70" s="34">
        <f t="shared" si="17"/>
        <v>500</v>
      </c>
      <c r="P70" s="68"/>
      <c r="Q70" s="69"/>
    </row>
    <row r="71" spans="1:17" x14ac:dyDescent="0.25">
      <c r="A71" s="10"/>
      <c r="B71" s="11" t="s">
        <v>162</v>
      </c>
      <c r="C71" s="11">
        <f>SUM(C63:C70)</f>
        <v>4204.43</v>
      </c>
      <c r="D71" s="11">
        <f t="shared" ref="D71:O71" si="18">SUM(D63:D70)</f>
        <v>4403.43</v>
      </c>
      <c r="E71" s="11">
        <f t="shared" si="18"/>
        <v>4704.43</v>
      </c>
      <c r="F71" s="11">
        <f t="shared" si="18"/>
        <v>4504.43</v>
      </c>
      <c r="G71" s="11">
        <f t="shared" si="18"/>
        <v>4553.43</v>
      </c>
      <c r="H71" s="11">
        <f t="shared" si="18"/>
        <v>4504.43</v>
      </c>
      <c r="I71" s="11">
        <f t="shared" si="18"/>
        <v>4554.43</v>
      </c>
      <c r="J71" s="11">
        <f t="shared" si="18"/>
        <v>4503.43</v>
      </c>
      <c r="K71" s="11">
        <f t="shared" si="18"/>
        <v>4204.43</v>
      </c>
      <c r="L71" s="11">
        <f t="shared" si="18"/>
        <v>4404.43</v>
      </c>
      <c r="M71" s="11">
        <f t="shared" si="18"/>
        <v>4203.43</v>
      </c>
      <c r="N71" s="11">
        <f t="shared" si="18"/>
        <v>4204.43</v>
      </c>
      <c r="O71" s="12">
        <f t="shared" si="18"/>
        <v>52949.159999999996</v>
      </c>
      <c r="P71" s="74">
        <f>(O71-O8)/336</f>
        <v>124.30276785714284</v>
      </c>
      <c r="Q71" s="75">
        <f>P71/4</f>
        <v>31.07569196428571</v>
      </c>
    </row>
    <row r="72" spans="1:17" x14ac:dyDescent="0.25">
      <c r="A72" s="2" t="s">
        <v>123</v>
      </c>
      <c r="B72" s="26" t="s">
        <v>124</v>
      </c>
      <c r="C72" s="26">
        <v>0</v>
      </c>
      <c r="D72" s="26">
        <v>20520</v>
      </c>
      <c r="E72" s="26">
        <v>20520</v>
      </c>
      <c r="F72" s="26">
        <v>20520</v>
      </c>
      <c r="G72" s="26">
        <v>20520</v>
      </c>
      <c r="H72" s="26">
        <v>20520</v>
      </c>
      <c r="I72" s="26">
        <v>20520</v>
      </c>
      <c r="J72" s="26">
        <v>20520</v>
      </c>
      <c r="K72" s="26">
        <v>20520</v>
      </c>
      <c r="L72" s="26">
        <v>20520</v>
      </c>
      <c r="M72" s="26">
        <v>20520</v>
      </c>
      <c r="N72" s="27">
        <v>20520</v>
      </c>
      <c r="O72" s="34">
        <f t="shared" ref="O72:O78" si="19">SUM(C72:N72)</f>
        <v>225720</v>
      </c>
      <c r="P72" s="68">
        <f>O72/198/4</f>
        <v>285</v>
      </c>
      <c r="Q72" s="69"/>
    </row>
    <row r="73" spans="1:17" x14ac:dyDescent="0.25">
      <c r="A73" s="2" t="s">
        <v>125</v>
      </c>
      <c r="B73" s="26" t="s">
        <v>126</v>
      </c>
      <c r="C73" s="26">
        <v>0</v>
      </c>
      <c r="D73" s="26">
        <v>0</v>
      </c>
      <c r="E73" s="26">
        <v>0</v>
      </c>
      <c r="F73" s="26">
        <v>1250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1250</v>
      </c>
      <c r="M73" s="26">
        <v>0</v>
      </c>
      <c r="N73" s="27">
        <v>0</v>
      </c>
      <c r="O73" s="34">
        <f t="shared" si="19"/>
        <v>2500</v>
      </c>
      <c r="P73" s="68"/>
      <c r="Q73" s="69"/>
    </row>
    <row r="74" spans="1:17" x14ac:dyDescent="0.25">
      <c r="A74" s="2" t="s">
        <v>127</v>
      </c>
      <c r="B74" s="26" t="s">
        <v>128</v>
      </c>
      <c r="C74" s="26">
        <v>0</v>
      </c>
      <c r="D74" s="26">
        <v>0</v>
      </c>
      <c r="E74" s="26">
        <v>0</v>
      </c>
      <c r="F74" s="26">
        <v>0</v>
      </c>
      <c r="G74" s="26">
        <v>1250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1250</v>
      </c>
      <c r="N74" s="27">
        <v>0</v>
      </c>
      <c r="O74" s="34">
        <f t="shared" si="19"/>
        <v>2500</v>
      </c>
      <c r="P74" s="68"/>
      <c r="Q74" s="69"/>
    </row>
    <row r="75" spans="1:17" x14ac:dyDescent="0.25">
      <c r="A75" s="2" t="s">
        <v>129</v>
      </c>
      <c r="B75" s="26" t="s">
        <v>130</v>
      </c>
      <c r="C75" s="26">
        <v>600</v>
      </c>
      <c r="D75" s="26">
        <v>0</v>
      </c>
      <c r="E75" s="26">
        <v>0</v>
      </c>
      <c r="F75" s="26">
        <v>600</v>
      </c>
      <c r="G75" s="26">
        <v>0</v>
      </c>
      <c r="H75" s="26">
        <v>0</v>
      </c>
      <c r="I75" s="26">
        <v>600</v>
      </c>
      <c r="J75" s="26">
        <v>0</v>
      </c>
      <c r="K75" s="26">
        <v>0</v>
      </c>
      <c r="L75" s="26">
        <v>600</v>
      </c>
      <c r="M75" s="26">
        <v>0</v>
      </c>
      <c r="N75" s="27">
        <v>0</v>
      </c>
      <c r="O75" s="34">
        <f t="shared" si="19"/>
        <v>2400</v>
      </c>
      <c r="P75" s="68"/>
      <c r="Q75" s="69"/>
    </row>
    <row r="76" spans="1:17" x14ac:dyDescent="0.25">
      <c r="A76" s="2" t="s">
        <v>131</v>
      </c>
      <c r="B76" s="26" t="s">
        <v>132</v>
      </c>
      <c r="C76" s="26">
        <v>9004</v>
      </c>
      <c r="D76" s="26">
        <v>9004</v>
      </c>
      <c r="E76" s="26">
        <v>8065</v>
      </c>
      <c r="F76" s="26">
        <v>8065</v>
      </c>
      <c r="G76" s="26">
        <v>8065</v>
      </c>
      <c r="H76" s="26">
        <v>8065</v>
      </c>
      <c r="I76" s="26">
        <v>8065</v>
      </c>
      <c r="J76" s="26">
        <v>8065</v>
      </c>
      <c r="K76" s="26">
        <v>8065</v>
      </c>
      <c r="L76" s="26">
        <v>8065</v>
      </c>
      <c r="M76" s="26">
        <v>8065</v>
      </c>
      <c r="N76" s="27">
        <v>8065</v>
      </c>
      <c r="O76" s="34">
        <f t="shared" si="19"/>
        <v>98658</v>
      </c>
      <c r="P76" s="68"/>
      <c r="Q76" s="69"/>
    </row>
    <row r="77" spans="1:17" x14ac:dyDescent="0.25">
      <c r="A77" s="2" t="s">
        <v>133</v>
      </c>
      <c r="B77" s="26" t="s">
        <v>134</v>
      </c>
      <c r="C77" s="26">
        <v>0</v>
      </c>
      <c r="D77" s="26">
        <v>0</v>
      </c>
      <c r="E77" s="26">
        <v>0</v>
      </c>
      <c r="F77" s="26">
        <v>3000</v>
      </c>
      <c r="G77" s="26">
        <v>3000</v>
      </c>
      <c r="H77" s="26">
        <v>3000</v>
      </c>
      <c r="I77" s="26">
        <v>0</v>
      </c>
      <c r="J77" s="26">
        <v>0</v>
      </c>
      <c r="K77" s="26">
        <v>3000</v>
      </c>
      <c r="L77" s="26">
        <v>0</v>
      </c>
      <c r="M77" s="26">
        <v>0</v>
      </c>
      <c r="N77" s="27">
        <v>0</v>
      </c>
      <c r="O77" s="34">
        <f t="shared" si="19"/>
        <v>12000</v>
      </c>
      <c r="P77" s="68"/>
      <c r="Q77" s="69"/>
    </row>
    <row r="78" spans="1:17" x14ac:dyDescent="0.25">
      <c r="A78" s="2" t="s">
        <v>135</v>
      </c>
      <c r="B78" s="26" t="s">
        <v>136</v>
      </c>
      <c r="C78" s="26">
        <v>600</v>
      </c>
      <c r="D78" s="26">
        <v>600</v>
      </c>
      <c r="E78" s="26">
        <v>600</v>
      </c>
      <c r="F78" s="26">
        <v>600</v>
      </c>
      <c r="G78" s="26">
        <v>600</v>
      </c>
      <c r="H78" s="26">
        <v>600</v>
      </c>
      <c r="I78" s="26">
        <v>600</v>
      </c>
      <c r="J78" s="26">
        <v>600</v>
      </c>
      <c r="K78" s="26">
        <v>600</v>
      </c>
      <c r="L78" s="26">
        <v>600</v>
      </c>
      <c r="M78" s="26">
        <v>0</v>
      </c>
      <c r="N78" s="27">
        <v>0</v>
      </c>
      <c r="O78" s="34">
        <f t="shared" si="19"/>
        <v>6000</v>
      </c>
      <c r="P78" s="68"/>
      <c r="Q78" s="69"/>
    </row>
    <row r="79" spans="1:17" x14ac:dyDescent="0.25">
      <c r="A79" s="10"/>
      <c r="B79" s="11" t="s">
        <v>163</v>
      </c>
      <c r="C79" s="11">
        <f>SUM(C72:C78)</f>
        <v>10204</v>
      </c>
      <c r="D79" s="11">
        <f t="shared" ref="D79:O79" si="20">SUM(D72:D78)</f>
        <v>30124</v>
      </c>
      <c r="E79" s="11">
        <f t="shared" si="20"/>
        <v>29185</v>
      </c>
      <c r="F79" s="11">
        <f t="shared" si="20"/>
        <v>34035</v>
      </c>
      <c r="G79" s="11">
        <f t="shared" si="20"/>
        <v>33435</v>
      </c>
      <c r="H79" s="11">
        <f t="shared" si="20"/>
        <v>32185</v>
      </c>
      <c r="I79" s="11">
        <f t="shared" si="20"/>
        <v>29785</v>
      </c>
      <c r="J79" s="11">
        <f t="shared" si="20"/>
        <v>29185</v>
      </c>
      <c r="K79" s="11">
        <f t="shared" si="20"/>
        <v>32185</v>
      </c>
      <c r="L79" s="11">
        <f t="shared" si="20"/>
        <v>31035</v>
      </c>
      <c r="M79" s="11">
        <f t="shared" si="20"/>
        <v>29835</v>
      </c>
      <c r="N79" s="11">
        <f t="shared" si="20"/>
        <v>28585</v>
      </c>
      <c r="O79" s="12">
        <f t="shared" si="20"/>
        <v>349778</v>
      </c>
      <c r="P79" s="80">
        <f>(O79-O72)/198</f>
        <v>626.55555555555554</v>
      </c>
      <c r="Q79" s="81">
        <f t="shared" ref="Q79:Q81" si="21">P79/4</f>
        <v>156.63888888888889</v>
      </c>
    </row>
    <row r="80" spans="1:17" x14ac:dyDescent="0.25">
      <c r="A80" s="2" t="s">
        <v>137</v>
      </c>
      <c r="B80" s="30" t="s">
        <v>138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1">
        <v>22156.5</v>
      </c>
      <c r="O80" s="34">
        <f t="shared" ref="O80:O81" si="22">SUM(C80:N80)</f>
        <v>22156.5</v>
      </c>
      <c r="P80" s="74">
        <f>O80/336</f>
        <v>65.941964285714292</v>
      </c>
      <c r="Q80" s="75">
        <f t="shared" si="21"/>
        <v>16.485491071428573</v>
      </c>
    </row>
    <row r="81" spans="1:17" x14ac:dyDescent="0.25">
      <c r="A81" s="2" t="s">
        <v>139</v>
      </c>
      <c r="B81" s="26" t="s">
        <v>140</v>
      </c>
      <c r="C81" s="26">
        <v>1184</v>
      </c>
      <c r="D81" s="26">
        <v>1183.99</v>
      </c>
      <c r="E81" s="26">
        <v>1184</v>
      </c>
      <c r="F81" s="26">
        <v>1183.99</v>
      </c>
      <c r="G81" s="26">
        <v>1183.99</v>
      </c>
      <c r="H81" s="26">
        <v>1184</v>
      </c>
      <c r="I81" s="26">
        <v>1184</v>
      </c>
      <c r="J81" s="26">
        <v>1183.99</v>
      </c>
      <c r="K81" s="26">
        <v>1184</v>
      </c>
      <c r="L81" s="26">
        <v>1183.99</v>
      </c>
      <c r="M81" s="26">
        <v>1184</v>
      </c>
      <c r="N81" s="27">
        <v>1183.99</v>
      </c>
      <c r="O81" s="34">
        <f t="shared" si="22"/>
        <v>14207.939999999999</v>
      </c>
      <c r="P81" s="80">
        <f>O81/198</f>
        <v>71.757272727272721</v>
      </c>
      <c r="Q81" s="81">
        <f t="shared" si="21"/>
        <v>17.93931818181818</v>
      </c>
    </row>
    <row r="82" spans="1:17" x14ac:dyDescent="0.25">
      <c r="A82" s="10"/>
      <c r="B82" s="11" t="s">
        <v>165</v>
      </c>
      <c r="C82" s="11">
        <f>SUM(C80:C81)</f>
        <v>1184</v>
      </c>
      <c r="D82" s="11">
        <f t="shared" ref="D82:N82" si="23">SUM(D80:D81)</f>
        <v>1183.99</v>
      </c>
      <c r="E82" s="11">
        <f t="shared" si="23"/>
        <v>1184</v>
      </c>
      <c r="F82" s="11">
        <f t="shared" si="23"/>
        <v>1183.99</v>
      </c>
      <c r="G82" s="11">
        <f t="shared" si="23"/>
        <v>1183.99</v>
      </c>
      <c r="H82" s="11">
        <f t="shared" si="23"/>
        <v>1184</v>
      </c>
      <c r="I82" s="11">
        <f t="shared" si="23"/>
        <v>1184</v>
      </c>
      <c r="J82" s="11">
        <f t="shared" si="23"/>
        <v>1183.99</v>
      </c>
      <c r="K82" s="11">
        <f t="shared" si="23"/>
        <v>1184</v>
      </c>
      <c r="L82" s="11">
        <f t="shared" si="23"/>
        <v>1183.99</v>
      </c>
      <c r="M82" s="11">
        <f t="shared" si="23"/>
        <v>1184</v>
      </c>
      <c r="N82" s="11">
        <f t="shared" si="23"/>
        <v>23340.49</v>
      </c>
      <c r="O82" s="35">
        <f>SUM(O80:O81)</f>
        <v>36364.44</v>
      </c>
      <c r="P82" s="68"/>
      <c r="Q82" s="69"/>
    </row>
    <row r="83" spans="1:17" ht="14.25" thickBot="1" x14ac:dyDescent="0.3">
      <c r="A83" s="2" t="s">
        <v>141</v>
      </c>
      <c r="B83" s="30" t="s">
        <v>142</v>
      </c>
      <c r="C83" s="30">
        <v>511</v>
      </c>
      <c r="D83" s="30">
        <v>511</v>
      </c>
      <c r="E83" s="30">
        <v>511</v>
      </c>
      <c r="F83" s="30">
        <v>512</v>
      </c>
      <c r="G83" s="30">
        <v>511</v>
      </c>
      <c r="H83" s="30">
        <v>511</v>
      </c>
      <c r="I83" s="30">
        <v>511</v>
      </c>
      <c r="J83" s="30">
        <v>511</v>
      </c>
      <c r="K83" s="30">
        <v>511</v>
      </c>
      <c r="L83" s="30">
        <v>511</v>
      </c>
      <c r="M83" s="30">
        <v>511</v>
      </c>
      <c r="N83" s="31">
        <v>511.53</v>
      </c>
      <c r="O83" s="34">
        <f>SUM(C83:N83)</f>
        <v>6133.53</v>
      </c>
      <c r="P83" s="82">
        <f>O83/336</f>
        <v>18.25455357142857</v>
      </c>
      <c r="Q83" s="83">
        <f>P83/4</f>
        <v>4.5636383928571425</v>
      </c>
    </row>
    <row r="84" spans="1:17" x14ac:dyDescent="0.25">
      <c r="A84" s="10"/>
      <c r="B84" s="11" t="s">
        <v>164</v>
      </c>
      <c r="C84" s="13">
        <f t="shared" ref="C84:N84" si="24">SUM(C83)</f>
        <v>511</v>
      </c>
      <c r="D84" s="13">
        <f t="shared" si="24"/>
        <v>511</v>
      </c>
      <c r="E84" s="13">
        <f t="shared" si="24"/>
        <v>511</v>
      </c>
      <c r="F84" s="13">
        <f t="shared" si="24"/>
        <v>512</v>
      </c>
      <c r="G84" s="13">
        <f t="shared" si="24"/>
        <v>511</v>
      </c>
      <c r="H84" s="13">
        <f t="shared" si="24"/>
        <v>511</v>
      </c>
      <c r="I84" s="13">
        <f t="shared" si="24"/>
        <v>511</v>
      </c>
      <c r="J84" s="13">
        <f t="shared" si="24"/>
        <v>511</v>
      </c>
      <c r="K84" s="13">
        <f t="shared" si="24"/>
        <v>511</v>
      </c>
      <c r="L84" s="13">
        <f t="shared" si="24"/>
        <v>511</v>
      </c>
      <c r="M84" s="13">
        <f t="shared" si="24"/>
        <v>511</v>
      </c>
      <c r="N84" s="13">
        <f t="shared" si="24"/>
        <v>511.53</v>
      </c>
      <c r="O84" s="35">
        <f>SUM(O83)</f>
        <v>6133.53</v>
      </c>
      <c r="P84" s="58"/>
      <c r="Q84" s="59"/>
    </row>
    <row r="85" spans="1:17" ht="27.75" customHeight="1" x14ac:dyDescent="0.45">
      <c r="A85" s="2"/>
      <c r="B85" s="14" t="s">
        <v>148</v>
      </c>
      <c r="C85" s="9">
        <f t="shared" ref="C85:N85" si="25">SUM(C27,C30,C33,C45,C55,C60,C62,C71,C79,C82,C84)</f>
        <v>47270.76</v>
      </c>
      <c r="D85" s="9">
        <f t="shared" si="25"/>
        <v>70957.759999999995</v>
      </c>
      <c r="E85" s="9">
        <f t="shared" si="25"/>
        <v>57837.01</v>
      </c>
      <c r="F85" s="9">
        <f t="shared" si="25"/>
        <v>63398</v>
      </c>
      <c r="G85" s="9">
        <f t="shared" si="25"/>
        <v>70921.010000000009</v>
      </c>
      <c r="H85" s="9">
        <f t="shared" si="25"/>
        <v>66051.010000000009</v>
      </c>
      <c r="I85" s="9">
        <f t="shared" si="25"/>
        <v>62723.01</v>
      </c>
      <c r="J85" s="9">
        <f t="shared" si="25"/>
        <v>60913.01</v>
      </c>
      <c r="K85" s="9">
        <f t="shared" si="25"/>
        <v>67943.010000000009</v>
      </c>
      <c r="L85" s="9">
        <f t="shared" si="25"/>
        <v>61364</v>
      </c>
      <c r="M85" s="9">
        <f t="shared" si="25"/>
        <v>61315.020000000004</v>
      </c>
      <c r="N85" s="9">
        <f t="shared" si="25"/>
        <v>82184.03</v>
      </c>
      <c r="O85" s="36">
        <f>SUM(O27,O30,O33,O45,O55,O60,O62,O71,O79,O82,O84)</f>
        <v>772877.62999999989</v>
      </c>
      <c r="P85" s="60"/>
      <c r="Q85" s="61"/>
    </row>
    <row r="86" spans="1:17" ht="41.25" customHeight="1" thickBot="1" x14ac:dyDescent="0.55000000000000004">
      <c r="A86" s="15"/>
      <c r="B86" s="16" t="s">
        <v>150</v>
      </c>
      <c r="C86" s="17">
        <f t="shared" ref="C86:N86" si="26">C14-C85</f>
        <v>143714.50999999998</v>
      </c>
      <c r="D86" s="17">
        <f t="shared" si="26"/>
        <v>-69788.759999999995</v>
      </c>
      <c r="E86" s="17">
        <f t="shared" si="26"/>
        <v>-56772.01</v>
      </c>
      <c r="F86" s="17">
        <f t="shared" si="26"/>
        <v>127588.26999999999</v>
      </c>
      <c r="G86" s="17">
        <f t="shared" si="26"/>
        <v>-69751.010000000009</v>
      </c>
      <c r="H86" s="17">
        <f t="shared" si="26"/>
        <v>-64987.010000000009</v>
      </c>
      <c r="I86" s="17">
        <f t="shared" si="26"/>
        <v>128262.25</v>
      </c>
      <c r="J86" s="17">
        <f t="shared" si="26"/>
        <v>-59743.01</v>
      </c>
      <c r="K86" s="17">
        <f t="shared" si="26"/>
        <v>-66879.010000000009</v>
      </c>
      <c r="L86" s="17">
        <f t="shared" si="26"/>
        <v>129620.82999999999</v>
      </c>
      <c r="M86" s="17">
        <f t="shared" si="26"/>
        <v>-60145.020000000004</v>
      </c>
      <c r="N86" s="17">
        <f t="shared" si="26"/>
        <v>-81120.03</v>
      </c>
      <c r="O86" s="37">
        <f>O14-O85</f>
        <v>0</v>
      </c>
      <c r="P86" s="62"/>
      <c r="Q86" s="63"/>
    </row>
  </sheetData>
  <mergeCells count="2">
    <mergeCell ref="S2:S4"/>
    <mergeCell ref="Q9:R9"/>
  </mergeCells>
  <pageMargins left="0.7" right="0.7" top="0.75" bottom="0.75" header="0.3" footer="0.3"/>
  <pageSetup scale="29" orientation="landscape" r:id="rId1"/>
  <ignoredErrors>
    <ignoredError sqref="O45 O55 O27 O30 O33 O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IHV Analysis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Reach</dc:creator>
  <cp:lastModifiedBy>Sean Corcoran</cp:lastModifiedBy>
  <cp:lastPrinted>2024-12-12T17:26:56Z</cp:lastPrinted>
  <dcterms:created xsi:type="dcterms:W3CDTF">2024-12-13T14:16:37Z</dcterms:created>
  <dcterms:modified xsi:type="dcterms:W3CDTF">2024-12-13T21:48:49Z</dcterms:modified>
</cp:coreProperties>
</file>